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tabRatio="500" firstSheet="1" activeTab="8"/>
  </bookViews>
  <sheets>
    <sheet name="汇总" sheetId="1" r:id="rId1"/>
    <sheet name="道路" sheetId="2" r:id="rId2"/>
    <sheet name="雨水管道疏通" sheetId="3" r:id="rId3"/>
    <sheet name="污水管道疏通" sheetId="5" r:id="rId4"/>
    <sheet name="出水口维修" sheetId="6" r:id="rId5"/>
    <sheet name="管道检测" sheetId="12" r:id="rId6"/>
    <sheet name="淤泥" sheetId="11" r:id="rId7"/>
    <sheet name="桥梁养护" sheetId="7" r:id="rId8"/>
    <sheet name="零星维修及应急处置" sheetId="13" r:id="rId9"/>
  </sheets>
  <definedNames>
    <definedName name="_xlnm.Print_Titles" localSheetId="7">桥梁养护!$1:$2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<sst xmlns="http://schemas.openxmlformats.org/spreadsheetml/2006/main" count="394" uniqueCount="213">
  <si>
    <t>高新区文昌东路以南2026年市政养护服务汇总表</t>
  </si>
  <si>
    <t>序号</t>
  </si>
  <si>
    <t>分部名称</t>
  </si>
  <si>
    <t>实施内容</t>
  </si>
  <si>
    <t>报价（元）</t>
  </si>
  <si>
    <t>一</t>
  </si>
  <si>
    <t>文昌东路以南市政道路养护采购服务</t>
  </si>
  <si>
    <t>道路维修养护</t>
  </si>
  <si>
    <t>1、人行道道板砖（包括步道砖、火烧板、面包砖、彩色道板）维修；2、砼路面（包括压膜砼人行道）维修；3、沥青路面铣刨、摊铺、常规井盖、砼路牙沿、花岗岩路牙维修</t>
  </si>
  <si>
    <t>雨水管道疏通养护</t>
  </si>
  <si>
    <t>雨水管疏通养护</t>
  </si>
  <si>
    <t>污水管道疏通养护</t>
  </si>
  <si>
    <t>污水管网疏通养护</t>
  </si>
  <si>
    <t>出水口养护</t>
  </si>
  <si>
    <t>出水口疏通清淤养护</t>
  </si>
  <si>
    <t>管道检测</t>
  </si>
  <si>
    <t>雨污水管道CCTV检测</t>
  </si>
  <si>
    <t>淤泥清运、处置</t>
  </si>
  <si>
    <t>包含淤泥清运、淤泥处置</t>
  </si>
  <si>
    <t>桥梁维修养护</t>
  </si>
  <si>
    <t>包含桥梁栏杆、桥面、胀缝、桥台及桥下清理、裂缝及露筋处理</t>
  </si>
  <si>
    <t>零星维修、应急处置及日常巡查</t>
  </si>
  <si>
    <t>1、包含围墙刷白、消火栓维修更换、管道应急气囊封堵、应急排水、吸污以及路面除雪、日常巡视检查</t>
  </si>
  <si>
    <t>二</t>
  </si>
  <si>
    <t>合计</t>
  </si>
  <si>
    <t>（1）~（8）</t>
  </si>
  <si>
    <t>高新区文昌东路以南2026年市政养护服务-道路养护</t>
  </si>
  <si>
    <t>名称</t>
  </si>
  <si>
    <t>项目特征</t>
  </si>
  <si>
    <t>计量单位</t>
  </si>
  <si>
    <t>工程量</t>
  </si>
  <si>
    <t>维修率</t>
  </si>
  <si>
    <t>全费用单价（元）</t>
  </si>
  <si>
    <t>合价（元）</t>
  </si>
  <si>
    <t>人行道维修养护（步道砖）</t>
  </si>
  <si>
    <t>1、拆除步道砖人行道及原有8cm混凝土垫层
2、挖掘机挖渣装车外运5km
3、人工夯实
4、浇筑8cm厚C25混凝土垫层
5、铺设步道砖</t>
  </si>
  <si>
    <t>m2</t>
  </si>
  <si>
    <t>人行道维修养护（火烧板）</t>
  </si>
  <si>
    <t>1、拆除火烧板人行道及原有8cm混凝土垫层
2、挖掘机挖渣装车外运5km
3、人工夯实
4、浇筑8cm厚C25混凝土垫层
5、铺设火烧板</t>
  </si>
  <si>
    <t>人行道维修养护（面包砖）</t>
  </si>
  <si>
    <t>1、拆除面包砖人行道及原有8cm混凝土垫层
2、挖掘机挖渣装车外运5km
3、人工夯实
4、浇筑8cm厚C25混凝土垫层
5、铺设面包砖</t>
  </si>
  <si>
    <t>人行道维修养护（彩色道板）</t>
  </si>
  <si>
    <t>1、拆除彩色道板人行道及原有8cm混凝土垫层
2、挖掘机挖渣装车外运5km
3、人工夯实
4、浇筑8cm厚C25混凝土垫层
5、铺设彩色道板</t>
  </si>
  <si>
    <t>C30砼15cm厚度人行道</t>
  </si>
  <si>
    <t>1、拆除、清理、外运5km、整平；
2、恢复5cm厚碎石垫层，15cm厚C30非泵送砼面层</t>
  </si>
  <si>
    <t>C30砼18cm厚度人行道</t>
  </si>
  <si>
    <t>1、拆除原人行道砼18cm，装车外运5km；
2、恢复5cm厚碎石垫层，18cm厚C30非泵送商品砼面层</t>
  </si>
  <si>
    <t>C30砼15cm压膜砼人行道</t>
  </si>
  <si>
    <t>1、拆除、清理、外运5km；
2、整平、恢复5cm厚碎石垫层，15cm厚C30非泵送商品砼基层
3、面层：强化剂模具压印艺术地坪</t>
  </si>
  <si>
    <t>塑胶步道维修养护</t>
  </si>
  <si>
    <t>1、拆除塑胶跑道及原有8cm混凝土垫层
2、挖掘机挖渣装车外运5km
3、人工夯实
4、浇筑8cmC20混凝土垫层
5、铺设5mm厚塑胶跑道</t>
  </si>
  <si>
    <t>20cm厚度主路面（C40早强）（20cm厚5%水泥稳定碎石底基层）</t>
  </si>
  <si>
    <t>1、拆除原有20cm水泥砼路面，拆除原有灰土20cm，机械装车外运5km；
2、恢复20cm厚5%水泥稳定碎石基层，恢复20cm厚C40非泵送早强商品砼面层
3、路面养生，模板，植筋</t>
  </si>
  <si>
    <t>20cm厚度主路面（C40早强）（20cm厚C20砼底基层）</t>
  </si>
  <si>
    <t>1、拆除原有20cm水泥砼路面，拆除原有灰土20cm，机械装车外运5km；
2、恢复20cmC20砼基层，恢复20cm厚C40非泵送早强商品砼面层
3、路面养生，模板，植筋</t>
  </si>
  <si>
    <t>22cm厚度主路面（C40早强）（20cm厚5%水泥稳定碎石基层）</t>
  </si>
  <si>
    <t>1、拆除原有22cm水泥砼路面，拆除原有灰土22cm，机械装车外运5km；
2、恢复20cm水泥稳定碎石基层，恢复22cm厚C40非泵送早强商品砼面层
3、路面养生，模板，植筋</t>
  </si>
  <si>
    <t>22cm厚度主路面（C40早强）（20cm厚C20砼底基层）</t>
  </si>
  <si>
    <t>1、拆除原有22cm水泥砼路面，拆除原有灰土22cm，机械装车外运5km；
2、恢复20cmC20砼基层，恢复22cm厚C40非泵送早强商品砼面层
3、路面养生，模板，植筋</t>
  </si>
  <si>
    <t>11cm厚沥青砼路面铣刨、摊铺（大面积翻修，执行现行市政定额）</t>
  </si>
  <si>
    <t>1、拆除、外运：铣刨沥青砼11cm厚、装车外运5km
2、路面恢复：铺设玻纤维格栅、沥青下封层、摊铺4cm厚细粒式沥青砼、7cm厚中粒式沥青砼</t>
  </si>
  <si>
    <t>6cm厚细粒式沥青砼路面铣刨、摊铺（大面积翻修，执行现行市政定额）</t>
  </si>
  <si>
    <t xml:space="preserve">1、拆除、外运：铣刨5cm沥青砼、装车外运5km
2、路面恢复：沥青下封层、机械摊铺6cm厚细粒式沥青混凝土路面 </t>
  </si>
  <si>
    <t>11cm厚沥青砼路面铣刨、摊铺（维修定额范围内小面积维修，执行养护定额）</t>
  </si>
  <si>
    <t>1、拆除、外运：铣刨沥青砼11cm、装车外运5km
2、路面恢复：铺设土工格栅、沥青下封层、摊铺4cm厚细粒式沥青砼、7cm厚中粒式沥青砼</t>
  </si>
  <si>
    <t>6cm厚沥青砼路面铣刨、摊铺（维修定额范围内小面积维修，执行养护定额）</t>
  </si>
  <si>
    <t>1、拆除、外运：铣刨沥青砼6cm、装车外运5km
2、路面恢复：沥青下封层、摊铺6cm厚细粒沥青混凝土</t>
  </si>
  <si>
    <t>11cm厚沥青砼路面铣刨、沥青冷补料摊铺（维修定额范围内小面积维修，执行养护定额）</t>
  </si>
  <si>
    <t>1、拆除、外运：铣刨沥青砼11cm、装车外运5km
2、路面恢复：铺设土工格栅、沥青下封层、摊铺11cm厚沥青冷补料</t>
  </si>
  <si>
    <t>6cm厚沥青砼路面铣刨、沥青冷补料摊铺（维修定额范围内小面积维修，执行养护定额）</t>
  </si>
  <si>
    <t>1、拆除、外运：铣刨沥青砼6cm、装车外运5km
2、路面恢复：沥青下封层、摊铺6cm厚沥青冷补料</t>
  </si>
  <si>
    <t>雨水口</t>
  </si>
  <si>
    <t>1、更换雨水井盖 500×350以内，常规钢纤维雨水篦盖</t>
  </si>
  <si>
    <t>座</t>
  </si>
  <si>
    <t>1、更换雨水井盖 500×350以内，常规铸铁雨水篦盖</t>
  </si>
  <si>
    <t>检查井φ800(铸铁井盖框）</t>
  </si>
  <si>
    <t>1、检查井维修 更换检查井铸铁框盖 井框φ800</t>
  </si>
  <si>
    <t>砼路牙沿拆除及恢复</t>
  </si>
  <si>
    <t>1、拆除原有砼侧石，装车外运5km；
2、铺设预制砼侧石，C15砼垫层</t>
  </si>
  <si>
    <t>m</t>
  </si>
  <si>
    <t>1、拆除原有砼平石，装车外运5km；
2、铺设预制砼平石，C15砼垫层</t>
  </si>
  <si>
    <t>蘑菇石路牙沿拆除及恢复</t>
  </si>
  <si>
    <t>1、拆除原有蘑菇石路牙，装车外运5km；
2、铺设蘑菇石路牙，C15砼垫层</t>
  </si>
  <si>
    <t>花岗岩路牙沿拆除及恢复</t>
  </si>
  <si>
    <t>1、拆除原有石质侧石，装车外运5km，
2、铺设花岗岩侧石，C15砼垫层</t>
  </si>
  <si>
    <t>1、拆除原有石质平石，装车外运5km，
2、铺设花岗岩平石，C15砼垫层</t>
  </si>
  <si>
    <t>锯缝机锯缝灌缝（石油沥青）</t>
  </si>
  <si>
    <t>1、锯缝，石油沥青灌缝</t>
  </si>
  <si>
    <t>注：以上单价为全费用单价，包含但不限于人工费、材料费、机械费、管理费、利润、措施费、规费、税金等全部费用。</t>
  </si>
  <si>
    <t>高新区文昌东路以南2026年市政养护服务-雨水管道疏通养护</t>
  </si>
  <si>
    <t>北</t>
  </si>
  <si>
    <t>项目名称</t>
  </si>
  <si>
    <t>项目特征描述</t>
  </si>
  <si>
    <t>计量
单位</t>
  </si>
  <si>
    <t>次数</t>
  </si>
  <si>
    <t>1</t>
  </si>
  <si>
    <t>雨水管道疏通养护(300管道)</t>
  </si>
  <si>
    <t>1、规格：雨水管道疏通DN300
2、疏通工具：联合疏通车</t>
  </si>
  <si>
    <t>2</t>
  </si>
  <si>
    <t>雨水管道疏通养护(400~600管道)</t>
  </si>
  <si>
    <t>1、规格：雨水管道疏通DN400~DN500
2、疏通工具：联合疏通车</t>
  </si>
  <si>
    <t>3</t>
  </si>
  <si>
    <t>雨水管道疏通养护(700~800管道)</t>
  </si>
  <si>
    <t>1、规格：雨水管道疏通DN600~DN800
2、疏通工具：联合疏通车</t>
  </si>
  <si>
    <t>4</t>
  </si>
  <si>
    <t>雨水管道疏通养护(900~1000管道)</t>
  </si>
  <si>
    <t>1、规格：雨水管道疏通DN900~DN1000
2、疏通工具：联合疏通车</t>
  </si>
  <si>
    <t>5</t>
  </si>
  <si>
    <t>雨水管道疏通养护(1100~1200管道)</t>
  </si>
  <si>
    <t>1、规格：雨水管道疏通DN1100~DN1200
2、疏通工具：联合疏通车</t>
  </si>
  <si>
    <t>6</t>
  </si>
  <si>
    <t>雨水管道疏通养护(1300及以上管道)</t>
  </si>
  <si>
    <t>1、规格：雨水管道疏通DN1300以上
2、疏通工具：联合疏通车</t>
  </si>
  <si>
    <t>7</t>
  </si>
  <si>
    <t>砌筑井</t>
  </si>
  <si>
    <t>雨水检查井井上清疏，井深2m</t>
  </si>
  <si>
    <t>8</t>
  </si>
  <si>
    <t>雨水检查井井上清疏，井深2m-3m</t>
  </si>
  <si>
    <t>9</t>
  </si>
  <si>
    <t>雨水检查井井上清疏，井深3m外</t>
  </si>
  <si>
    <t>10</t>
  </si>
  <si>
    <t>雨水检查井井下清疏，按潜水员清淤（断水）考虑，淤泥暂按30cm考虑</t>
  </si>
  <si>
    <t>11</t>
  </si>
  <si>
    <t>1、雨水箅子及圈口材质、型号、规格：500*350mm以下</t>
  </si>
  <si>
    <t>合    计</t>
  </si>
  <si>
    <t>高新区文昌东路以南2026年市政养护服务-污水管道疏通养护</t>
  </si>
  <si>
    <t>污水管道疏通养护(400~600管道)</t>
  </si>
  <si>
    <t>1、规格：污水管道疏通DN400-DN500
2、疏通工具：联合疏通车</t>
  </si>
  <si>
    <t>污水管道疏通养护(700~800管道)</t>
  </si>
  <si>
    <t>1、规格：污水管道疏通DN600-DN800
2、疏通工具：联合疏通车</t>
  </si>
  <si>
    <t>污水管道疏通养护(900~1000管道)</t>
  </si>
  <si>
    <t>1、规格：污水管道疏通DN900-DN1000
2、疏通工具：联合疏通车</t>
  </si>
  <si>
    <t>污水管道疏通养护(1100~1200管道)</t>
  </si>
  <si>
    <t>1、规格：污水管道疏通DN1100-DN1200
2、疏通工具：联合疏通车</t>
  </si>
  <si>
    <t>污水管道疏通养护(1500管道)</t>
  </si>
  <si>
    <t>1、规格：污水管道疏通DN1500
2、疏通工具：联合疏通车</t>
  </si>
  <si>
    <t>排水渠清理疏通</t>
  </si>
  <si>
    <t>1、规格：集水渠疏通、养护截面4.5m2
2、疏通工具：联合疏通车</t>
  </si>
  <si>
    <t>污水检查井井上清疏，井深2m</t>
  </si>
  <si>
    <t>污水检查井井上清疏，井深2m-3m</t>
  </si>
  <si>
    <t>污水检查井井上清疏，井深3m外</t>
  </si>
  <si>
    <t>污水检查井井下清疏，按潜水员清淤（断水）考虑，淤泥暂按30cm考虑</t>
  </si>
  <si>
    <t xml:space="preserve">高新区文昌东路以南2026年市政养护服务-出水口维修养护   </t>
  </si>
  <si>
    <t>备注</t>
  </si>
  <si>
    <t>1、出水口疏通清淤，清杂</t>
  </si>
  <si>
    <t>个</t>
  </si>
  <si>
    <t>高新区文昌东路以南2026年市政养护服务-管道检测</t>
  </si>
  <si>
    <t xml:space="preserve"> 1、管道CCTV检测φ600以内，含机器人检测、摄像、录像、缺陷判读、电子版报告等</t>
  </si>
  <si>
    <t xml:space="preserve"> 1、管道CCTV检测φ600-φ1200，含机器人检测、摄像、录像、缺陷判读、电子版报告等</t>
  </si>
  <si>
    <t xml:space="preserve"> 1、管道CCTV检测φ1200以外，含机器人检测、摄像、录像、缺陷判读、电子版报告等</t>
  </si>
  <si>
    <t>高新区文昌东路以南2026年市政养护服务-淤泥清运处置</t>
  </si>
  <si>
    <t>淤泥清运费</t>
  </si>
  <si>
    <t>淤泥外运，地点自行考虑，运距15km以内</t>
  </si>
  <si>
    <t>m3</t>
  </si>
  <si>
    <t>淤泥外运，地点自行考虑，运距15km以外</t>
  </si>
  <si>
    <t>淤泥处置</t>
  </si>
  <si>
    <t>1、临时堆放点晾晒后运至处置地点；          2、淤泥处置</t>
  </si>
  <si>
    <t xml:space="preserve">高新区文昌东路以南2026年市政养护服务-桥梁维修养护   </t>
  </si>
  <si>
    <t xml:space="preserve"> 一、桥栏杆部分</t>
  </si>
  <si>
    <t>栏杆</t>
  </si>
  <si>
    <t>1、花岗岩栏杆维修更换</t>
  </si>
  <si>
    <t>1、不锈钢栏杆维修更换</t>
  </si>
  <si>
    <t>1、砼栏杆维修更换</t>
  </si>
  <si>
    <t>1、铁制钢管栏杆维修更换</t>
  </si>
  <si>
    <t>油漆</t>
  </si>
  <si>
    <t>1、材料品种：乳胶漆两遍 混凝土栏杆
2、要求：每年2次</t>
  </si>
  <si>
    <t>1、材料品种：防腐除锈刷面漆  金属栏杆</t>
  </si>
  <si>
    <t xml:space="preserve"> 二、人行道部分</t>
  </si>
  <si>
    <t>1、花岗岩人行道维修</t>
  </si>
  <si>
    <t>1、拆除原有人行道板，人工装车外运5km，恢复花岗岩人行道板</t>
  </si>
  <si>
    <t>2、步道砖人行道维修</t>
  </si>
  <si>
    <t>1、拆除原有人行道板，人工装车外运5km，恢复步道砖人行道板</t>
  </si>
  <si>
    <t>3、砼人行道维修</t>
  </si>
  <si>
    <t>1、拆除原有人行道板，人工装车外运5km，恢复15cmC30商品混凝土面层</t>
  </si>
  <si>
    <t xml:space="preserve"> 三、桥面部分</t>
  </si>
  <si>
    <t>1、沥青桥面</t>
  </si>
  <si>
    <t>1、拆除原有沥青混凝土面层，人工装车外运5km，摊铺6cm细粒式沥青混凝土</t>
  </si>
  <si>
    <t xml:space="preserve"> 四、胀缝部分</t>
  </si>
  <si>
    <t>胀缝清理</t>
  </si>
  <si>
    <t>1、材料品种、规格：胀缝清理</t>
  </si>
  <si>
    <t>1、类别：胀缝更换
2、材料品种、规格：梳型钢板伸缩缝</t>
  </si>
  <si>
    <t>五、桥台及桥下清理</t>
  </si>
  <si>
    <t>桥台及桥下日常定期清理</t>
  </si>
  <si>
    <t>1、桥台及桥下日常定期清理
2、检查次数：按24次计算</t>
  </si>
  <si>
    <t xml:space="preserve"> 六、裂缝及露筋处理</t>
  </si>
  <si>
    <t>桥梁板柱裂缝及露筋环氧厚浆处理</t>
  </si>
  <si>
    <t>1、桥梁板柱裂缝及露筋环氧厚浆处理</t>
  </si>
  <si>
    <t>高新区文昌东路以南2026年市政养护服务-零星维修及应急处置</t>
  </si>
  <si>
    <t xml:space="preserve"> 一、零星维修及应急处置</t>
  </si>
  <si>
    <t>围墙刷白</t>
  </si>
  <si>
    <t>1、围墙面清杂、清理、刷乳胶漆，含辅助脚手架</t>
  </si>
  <si>
    <t>消火栓更换</t>
  </si>
  <si>
    <t>1、地上消火栓检查、清杂，更换损坏的消火栓DN150，含接口配件</t>
  </si>
  <si>
    <t>套</t>
  </si>
  <si>
    <t>消火栓维护</t>
  </si>
  <si>
    <t>1、地上消防栓检查、清杂、试水</t>
  </si>
  <si>
    <t>泵站维护</t>
  </si>
  <si>
    <t>1、泵站日常维护，对机电设备、水工建筑、配电装置等配套设施进行巡检、清洁、检查校准、疏通、清淤、设备润滑除锈</t>
  </si>
  <si>
    <t>雨季排水</t>
  </si>
  <si>
    <t>1、排水设施DN100潜水泵抽水，含排水连接管30m</t>
  </si>
  <si>
    <t>台班</t>
  </si>
  <si>
    <t>管道气囊封堵</t>
  </si>
  <si>
    <t>1、管道气囊封堵 φ400以内</t>
  </si>
  <si>
    <t>1、管道气囊封堵 φ600以内</t>
  </si>
  <si>
    <t>1、管道气囊封堵 φ1000以内</t>
  </si>
  <si>
    <t>1、管道气囊封堵 φ1000以外</t>
  </si>
  <si>
    <t>应急吸污</t>
  </si>
  <si>
    <t>1、应急吸污泥 2、使用联合吸污车</t>
  </si>
  <si>
    <t>路面除雪</t>
  </si>
  <si>
    <t>1、人工撒布环保融雪盐除雪 2、投标人需综合考虑夜间、应急、大雪等情况</t>
  </si>
  <si>
    <t>日常巡视检查</t>
  </si>
  <si>
    <t>1、日常巡视检查，计量、记录并上报设施道路、排水管道破损状况 2、巡查频率每周一次    3、含人工、车辆、零星器具等检查工具</t>
  </si>
  <si>
    <t>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</si>
</sst>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.5"/>
      <color indexed="8"/>
      <name val="宋体"/>
      <charset val="134"/>
    </font>
    <font>
      <b/>
      <sz val="10.5"/>
      <color indexed="8"/>
      <name val="宋体"/>
      <charset val="134"/>
    </font>
    <font>
      <b/>
      <sz val="10"/>
      <name val="宋体"/>
      <charset val="134"/>
    </font>
    <font>
      <b/>
      <sz val="9"/>
      <color indexed="8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4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ill="0" applyBorder="0" applyAlignment="0" applyProtection="0"/>
    <xf numFmtId="44" fontId="12" fillId="0" borderId="0" applyFill="0" applyBorder="0" applyAlignment="0" applyProtection="0"/>
    <xf numFmtId="9" fontId="12" fillId="0" borderId="0" applyFill="0" applyBorder="0" applyAlignment="0" applyProtection="0"/>
    <xf numFmtId="41" fontId="12" fillId="0" borderId="0" applyFill="0" applyBorder="0" applyAlignment="0" applyProtection="0"/>
    <xf numFmtId="42" fontId="12" fillId="0" borderId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 applyProtection="1">
      <alignment horizontal="center" vertical="center" wrapText="1" readingOrder="1"/>
    </xf>
    <xf numFmtId="0" fontId="3" fillId="0" borderId="2" xfId="0" applyNumberFormat="1" applyFont="1" applyFill="1" applyBorder="1" applyAlignment="1" applyProtection="1">
      <alignment horizontal="center" vertical="center" wrapText="1" readingOrder="1"/>
    </xf>
    <xf numFmtId="0" fontId="3" fillId="0" borderId="2" xfId="0" applyNumberFormat="1" applyFont="1" applyFill="1" applyBorder="1" applyAlignment="1" applyProtection="1">
      <alignment horizontal="left" vertical="center" wrapText="1" readingOrder="1"/>
    </xf>
    <xf numFmtId="0" fontId="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3" xfId="0" applyBorder="1" applyAlignment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 wrapText="1" readingOrder="1"/>
    </xf>
    <xf numFmtId="0" fontId="0" fillId="0" borderId="2" xfId="0" applyBorder="1" applyAlignment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76" fontId="4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/>
    <xf numFmtId="0" fontId="1" fillId="0" borderId="0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right" vertical="center" wrapText="1" readingOrder="1"/>
    </xf>
    <xf numFmtId="0" fontId="3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 readingOrder="1"/>
    </xf>
    <xf numFmtId="176" fontId="3" fillId="0" borderId="1" xfId="0" applyNumberFormat="1" applyFont="1" applyFill="1" applyBorder="1" applyAlignment="1" applyProtection="1">
      <alignment horizontal="right" vertical="center" wrapText="1" readingOrder="1"/>
    </xf>
    <xf numFmtId="2" fontId="3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76" fontId="4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0" xfId="0" applyNumberFormat="1" applyFont="1" applyFill="1" applyBorder="1" applyAlignment="1" applyProtection="1">
      <alignment horizontal="right" vertical="top" wrapText="1" readingOrder="1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 shrinkToFit="1"/>
    </xf>
    <xf numFmtId="176" fontId="3" fillId="0" borderId="2" xfId="0" applyNumberFormat="1" applyFont="1" applyFill="1" applyBorder="1" applyAlignment="1" applyProtection="1">
      <alignment horizontal="center" vertical="center" wrapText="1" readingOrder="1"/>
    </xf>
    <xf numFmtId="0" fontId="8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9" fillId="0" borderId="0" xfId="0" applyNumberFormat="1" applyFont="1" applyFill="1" applyAlignment="1" applyProtection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 readingOrder="1"/>
    </xf>
    <xf numFmtId="0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7" fontId="3" fillId="2" borderId="1" xfId="0" applyNumberFormat="1" applyFont="1" applyFill="1" applyBorder="1" applyAlignment="1" applyProtection="1">
      <alignment horizontal="center" vertical="center" wrapText="1" readingOrder="1"/>
    </xf>
    <xf numFmtId="177" fontId="3" fillId="0" borderId="1" xfId="0" applyNumberFormat="1" applyFont="1" applyFill="1" applyBorder="1" applyAlignment="1" applyProtection="1">
      <alignment horizontal="center" vertical="center" wrapText="1" readingOrder="1"/>
    </xf>
    <xf numFmtId="176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0" xfId="0" applyNumberFormat="1" applyFont="1" applyFill="1" applyAlignment="1" applyProtection="1">
      <alignment horizontal="center" vertical="center" readingOrder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 shrinkToFit="1"/>
    </xf>
    <xf numFmtId="176" fontId="2" fillId="0" borderId="2" xfId="0" applyNumberFormat="1" applyFont="1" applyBorder="1" applyAlignment="1">
      <alignment horizontal="center" vertical="center" wrapText="1" shrinkToFi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2" fontId="3" fillId="0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0" borderId="2" xfId="0" applyNumberFormat="1" applyFont="1" applyFill="1" applyBorder="1" applyAlignment="1" applyProtection="1">
      <alignment horizontal="right" vertical="center" wrapText="1" readingOrder="1"/>
    </xf>
    <xf numFmtId="2" fontId="3" fillId="0" borderId="2" xfId="0" applyNumberFormat="1" applyFont="1" applyFill="1" applyBorder="1" applyAlignment="1" applyProtection="1">
      <alignment horizontal="right" vertical="center" wrapText="1" readingOrder="1"/>
    </xf>
    <xf numFmtId="176" fontId="4" fillId="0" borderId="2" xfId="0" applyNumberFormat="1" applyFont="1" applyFill="1" applyBorder="1" applyAlignment="1" applyProtection="1">
      <alignment horizontal="right" vertical="center" wrapText="1" readingOrder="1"/>
      <protection locked="0"/>
    </xf>
    <xf numFmtId="176" fontId="3" fillId="0" borderId="2" xfId="0" applyNumberFormat="1" applyFont="1" applyFill="1" applyBorder="1" applyAlignment="1" applyProtection="1">
      <alignment horizontal="right" vertical="center" wrapText="1" readingOrder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176" fontId="2" fillId="0" borderId="1" xfId="0" applyNumberFormat="1" applyFont="1" applyBorder="1" applyAlignment="1" applyProtection="1">
      <alignment horizontal="center" vertical="center" shrinkToFit="1"/>
    </xf>
    <xf numFmtId="9" fontId="2" fillId="0" borderId="2" xfId="0" applyNumberFormat="1" applyFont="1" applyBorder="1" applyAlignment="1" applyProtection="1">
      <alignment horizontal="center" vertical="center"/>
    </xf>
    <xf numFmtId="176" fontId="2" fillId="0" borderId="4" xfId="0" applyNumberFormat="1" applyFont="1" applyBorder="1" applyAlignment="1" applyProtection="1">
      <alignment horizontal="center" vertical="center" shrinkToFit="1"/>
    </xf>
    <xf numFmtId="10" fontId="2" fillId="0" borderId="2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176" fontId="2" fillId="0" borderId="5" xfId="0" applyNumberFormat="1" applyFont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176" fontId="2" fillId="0" borderId="6" xfId="0" applyNumberFormat="1" applyFont="1" applyBorder="1" applyAlignment="1" applyProtection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10" fillId="0" borderId="3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0" fillId="0" borderId="5" xfId="0" applyBorder="1" applyProtection="1">
      <alignment vertical="center"/>
      <protection locked="0"/>
    </xf>
    <xf numFmtId="0" fontId="10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176" fontId="0" fillId="0" borderId="5" xfId="0" applyNumberFormat="1" applyBorder="1" applyProtection="1">
      <alignment vertical="center"/>
      <protection locked="0"/>
    </xf>
    <xf numFmtId="0" fontId="10" fillId="0" borderId="11" xfId="0" applyFont="1" applyBorder="1" applyAlignment="1" applyProtection="1">
      <alignment horizontal="left" vertical="center" wrapText="1"/>
    </xf>
    <xf numFmtId="0" fontId="10" fillId="0" borderId="12" xfId="0" applyFont="1" applyBorder="1" applyAlignment="1" applyProtection="1">
      <alignment horizontal="left" vertical="center" wrapText="1"/>
    </xf>
    <xf numFmtId="0" fontId="10" fillId="0" borderId="11" xfId="0" applyFont="1" applyBorder="1" applyAlignment="1" applyProtection="1">
      <alignment horizontal="center" vertical="center"/>
    </xf>
    <xf numFmtId="176" fontId="0" fillId="0" borderId="6" xfId="0" applyNumberFormat="1" applyBorder="1" applyProtection="1">
      <alignment vertical="center"/>
      <protection locked="0"/>
    </xf>
    <xf numFmtId="0" fontId="1" fillId="0" borderId="11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vertical="center" wrapText="1"/>
    </xf>
    <xf numFmtId="176" fontId="1" fillId="0" borderId="6" xfId="0" applyNumberFormat="1" applyFont="1" applyBorder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7E6E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showZeros="0" workbookViewId="0">
      <selection activeCell="G14" sqref="G14"/>
    </sheetView>
  </sheetViews>
  <sheetFormatPr defaultColWidth="8.96666666666667" defaultRowHeight="15" outlineLevelCol="3"/>
  <cols>
    <col min="1" max="1" width="7.08333333333333" style="15"/>
    <col min="2" max="2" width="25.9166666666667" style="84" customWidth="1"/>
    <col min="3" max="3" width="32.75" style="84" customWidth="1"/>
    <col min="4" max="4" width="14.125"/>
    <col min="5" max="6" width="12.6916666666667"/>
    <col min="7" max="7" width="10.6"/>
    <col min="8" max="8" width="13.8333333333333"/>
    <col min="9" max="11" width="10.6"/>
    <col min="12" max="12" width="12.6666666666667"/>
    <col min="13" max="252" width="10.6"/>
  </cols>
  <sheetData>
    <row r="1" ht="39" customHeight="1" spans="1:4">
      <c r="A1" s="27" t="s">
        <v>0</v>
      </c>
      <c r="B1" s="27"/>
      <c r="C1" s="27"/>
      <c r="D1" s="27"/>
    </row>
    <row r="2" ht="32" customHeight="1" spans="1:4">
      <c r="A2" s="85" t="s">
        <v>1</v>
      </c>
      <c r="B2" s="86" t="s">
        <v>2</v>
      </c>
      <c r="C2" s="87" t="s">
        <v>3</v>
      </c>
      <c r="D2" s="88" t="s">
        <v>4</v>
      </c>
    </row>
    <row r="3" ht="32" customHeight="1" spans="1:4">
      <c r="A3" s="89" t="s">
        <v>5</v>
      </c>
      <c r="B3" s="90" t="s">
        <v>6</v>
      </c>
      <c r="C3" s="91"/>
      <c r="D3" s="92"/>
    </row>
    <row r="4" ht="79" customHeight="1" spans="1:4">
      <c r="A4" s="93">
        <v>1</v>
      </c>
      <c r="B4" s="94" t="s">
        <v>7</v>
      </c>
      <c r="C4" s="95" t="s">
        <v>8</v>
      </c>
      <c r="D4" s="96">
        <f>道路!I30</f>
        <v>0</v>
      </c>
    </row>
    <row r="5" ht="32" customHeight="1" spans="1:4">
      <c r="A5" s="93">
        <v>2</v>
      </c>
      <c r="B5" s="94" t="s">
        <v>9</v>
      </c>
      <c r="C5" s="95" t="s">
        <v>10</v>
      </c>
      <c r="D5" s="96">
        <f>雨水管道疏通!I14</f>
        <v>0</v>
      </c>
    </row>
    <row r="6" ht="32" customHeight="1" spans="1:4">
      <c r="A6" s="93">
        <v>3</v>
      </c>
      <c r="B6" s="94" t="s">
        <v>11</v>
      </c>
      <c r="C6" s="95" t="s">
        <v>12</v>
      </c>
      <c r="D6" s="96">
        <f>污水管道疏通!I13</f>
        <v>0</v>
      </c>
    </row>
    <row r="7" ht="32" customHeight="1" spans="1:4">
      <c r="A7" s="93">
        <v>4</v>
      </c>
      <c r="B7" s="94" t="s">
        <v>13</v>
      </c>
      <c r="C7" s="95" t="s">
        <v>14</v>
      </c>
      <c r="D7" s="96">
        <f>出水口维修!K5</f>
        <v>0</v>
      </c>
    </row>
    <row r="8" ht="32" customHeight="1" spans="1:4">
      <c r="A8" s="93">
        <v>5</v>
      </c>
      <c r="B8" s="94" t="s">
        <v>15</v>
      </c>
      <c r="C8" s="95" t="s">
        <v>16</v>
      </c>
      <c r="D8" s="96">
        <f>管道检测!G6</f>
        <v>0</v>
      </c>
    </row>
    <row r="9" ht="32" customHeight="1" spans="1:4">
      <c r="A9" s="93">
        <v>6</v>
      </c>
      <c r="B9" s="94" t="s">
        <v>17</v>
      </c>
      <c r="C9" s="95" t="s">
        <v>18</v>
      </c>
      <c r="D9" s="96">
        <f>淤泥!G6</f>
        <v>0</v>
      </c>
    </row>
    <row r="10" ht="32" customHeight="1" spans="1:4">
      <c r="A10" s="93">
        <v>7</v>
      </c>
      <c r="B10" s="94" t="s">
        <v>19</v>
      </c>
      <c r="C10" s="95" t="s">
        <v>20</v>
      </c>
      <c r="D10" s="96">
        <f>桥梁养护!H23</f>
        <v>0</v>
      </c>
    </row>
    <row r="11" ht="65" customHeight="1" spans="1:4">
      <c r="A11" s="93">
        <v>8</v>
      </c>
      <c r="B11" s="97" t="s">
        <v>21</v>
      </c>
      <c r="C11" s="98" t="s">
        <v>22</v>
      </c>
      <c r="D11" s="96">
        <f>零星维修及应急处置!G17</f>
        <v>0</v>
      </c>
    </row>
    <row r="12" ht="27" customHeight="1" spans="1:4">
      <c r="A12" s="99"/>
      <c r="B12" s="97"/>
      <c r="C12" s="98"/>
      <c r="D12" s="100"/>
    </row>
    <row r="13" ht="32" customHeight="1" spans="1:4">
      <c r="A13" s="101" t="s">
        <v>23</v>
      </c>
      <c r="B13" s="102" t="s">
        <v>24</v>
      </c>
      <c r="C13" s="103" t="s">
        <v>25</v>
      </c>
      <c r="D13" s="104">
        <f>SUM(D4:D11)</f>
        <v>0</v>
      </c>
    </row>
    <row r="14" ht="23" customHeight="1" spans="1:4">
      <c r="A14" s="105"/>
      <c r="B14" s="105"/>
      <c r="C14" s="105"/>
      <c r="D14" s="105"/>
    </row>
    <row r="15" ht="35" customHeight="1" spans="1:4">
      <c r="A15" s="106"/>
      <c r="B15" s="106"/>
      <c r="C15" s="106"/>
      <c r="D15" s="106"/>
    </row>
  </sheetData>
  <sheetProtection algorithmName="SHA-512" hashValue="Ul8m/zoQaIdoJOClCjJafaZ/Tq0foulX+pZfgCISwyzk3+KwNT1LLOh1FW5RhnFAgy79NLXjExkJsccJc9yzaw==" saltValue="VOcUZFSZ1lMLB032F+oCyw==" spinCount="100000" sheet="1" objects="1"/>
  <mergeCells count="3">
    <mergeCell ref="A1:D1"/>
    <mergeCell ref="A14:D14"/>
    <mergeCell ref="A15:D15"/>
  </mergeCells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showZeros="0" workbookViewId="0">
      <selection activeCell="N3" sqref="N3"/>
    </sheetView>
  </sheetViews>
  <sheetFormatPr defaultColWidth="8.96666666666667" defaultRowHeight="15"/>
  <cols>
    <col min="1" max="1" width="5.81666666666667" style="15"/>
    <col min="2" max="2" width="21" style="25"/>
    <col min="3" max="3" width="38.0666666666667" style="15"/>
    <col min="4" max="4" width="4.61666666666667" style="15"/>
    <col min="5" max="6" width="11.2583333333333" style="15" hidden="1" customWidth="1"/>
    <col min="7" max="7" width="11.2583333333333" style="15" customWidth="1"/>
    <col min="8" max="8" width="10.3166666666667" style="25"/>
    <col min="9" max="9" width="10.3166666666667" style="26"/>
    <col min="10" max="244" width="10.6"/>
  </cols>
  <sheetData>
    <row r="1" ht="35" customHeight="1" spans="1:9">
      <c r="A1" s="27" t="s">
        <v>26</v>
      </c>
      <c r="B1" s="27"/>
      <c r="C1" s="27"/>
      <c r="D1" s="27"/>
      <c r="E1" s="27"/>
      <c r="F1" s="27"/>
      <c r="G1" s="27"/>
      <c r="H1" s="27"/>
      <c r="I1" s="27"/>
    </row>
    <row r="2" s="15" customFormat="1" ht="28.35" customHeight="1" spans="1:9">
      <c r="A2" s="3" t="s">
        <v>1</v>
      </c>
      <c r="B2" s="3" t="s">
        <v>27</v>
      </c>
      <c r="C2" s="3" t="s">
        <v>28</v>
      </c>
      <c r="D2" s="3" t="s">
        <v>29</v>
      </c>
      <c r="E2" s="3" t="s">
        <v>30</v>
      </c>
      <c r="F2" s="3" t="s">
        <v>31</v>
      </c>
      <c r="G2" s="3" t="s">
        <v>30</v>
      </c>
      <c r="H2" s="3" t="s">
        <v>32</v>
      </c>
      <c r="I2" s="4" t="s">
        <v>33</v>
      </c>
    </row>
    <row r="3" ht="76" customHeight="1" spans="1:9">
      <c r="A3" s="68">
        <v>1</v>
      </c>
      <c r="B3" s="69" t="s">
        <v>34</v>
      </c>
      <c r="C3" s="69" t="s">
        <v>35</v>
      </c>
      <c r="D3" s="68" t="s">
        <v>36</v>
      </c>
      <c r="E3" s="70">
        <v>726</v>
      </c>
      <c r="F3" s="71">
        <v>0.05</v>
      </c>
      <c r="G3" s="70">
        <f>F3*E3</f>
        <v>36.3</v>
      </c>
      <c r="H3" s="31"/>
      <c r="I3" s="31">
        <f t="shared" ref="I3:I10" si="0">ROUND(G3*H3,2)</f>
        <v>0</v>
      </c>
    </row>
    <row r="4" ht="71" customHeight="1" spans="1:9">
      <c r="A4" s="68">
        <v>2</v>
      </c>
      <c r="B4" s="69" t="s">
        <v>37</v>
      </c>
      <c r="C4" s="69" t="s">
        <v>38</v>
      </c>
      <c r="D4" s="68" t="s">
        <v>36</v>
      </c>
      <c r="E4" s="70">
        <f>51622</f>
        <v>51622</v>
      </c>
      <c r="F4" s="71">
        <v>0.05</v>
      </c>
      <c r="G4" s="70">
        <f t="shared" ref="G3:G20" si="1">F4*E4</f>
        <v>2581.1</v>
      </c>
      <c r="H4" s="31"/>
      <c r="I4" s="31">
        <f t="shared" si="0"/>
        <v>0</v>
      </c>
    </row>
    <row r="5" ht="72" customHeight="1" spans="1:9">
      <c r="A5" s="68">
        <v>3</v>
      </c>
      <c r="B5" s="69" t="s">
        <v>39</v>
      </c>
      <c r="C5" s="69" t="s">
        <v>40</v>
      </c>
      <c r="D5" s="68" t="s">
        <v>36</v>
      </c>
      <c r="E5" s="70">
        <v>65183.2</v>
      </c>
      <c r="F5" s="71">
        <v>0.05</v>
      </c>
      <c r="G5" s="70">
        <f t="shared" si="1"/>
        <v>3259.16</v>
      </c>
      <c r="H5" s="31"/>
      <c r="I5" s="31">
        <f t="shared" si="0"/>
        <v>0</v>
      </c>
    </row>
    <row r="6" ht="74" customHeight="1" spans="1:9">
      <c r="A6" s="68">
        <v>4</v>
      </c>
      <c r="B6" s="69" t="s">
        <v>41</v>
      </c>
      <c r="C6" s="69" t="s">
        <v>42</v>
      </c>
      <c r="D6" s="68" t="s">
        <v>36</v>
      </c>
      <c r="E6" s="70">
        <v>4974</v>
      </c>
      <c r="F6" s="71">
        <v>0.05</v>
      </c>
      <c r="G6" s="70">
        <f t="shared" si="1"/>
        <v>248.7</v>
      </c>
      <c r="H6" s="31"/>
      <c r="I6" s="31">
        <f t="shared" si="0"/>
        <v>0</v>
      </c>
    </row>
    <row r="7" ht="74" customHeight="1" spans="1:9">
      <c r="A7" s="68">
        <v>5</v>
      </c>
      <c r="B7" s="69" t="s">
        <v>43</v>
      </c>
      <c r="C7" s="69" t="s">
        <v>44</v>
      </c>
      <c r="D7" s="68" t="s">
        <v>36</v>
      </c>
      <c r="E7" s="72">
        <v>7561.5</v>
      </c>
      <c r="F7" s="73">
        <v>0.005</v>
      </c>
      <c r="G7" s="70">
        <f t="shared" si="1"/>
        <v>37.8075</v>
      </c>
      <c r="H7" s="31"/>
      <c r="I7" s="31">
        <f t="shared" si="0"/>
        <v>0</v>
      </c>
    </row>
    <row r="8" ht="74" customHeight="1" spans="1:9">
      <c r="A8" s="68">
        <v>6</v>
      </c>
      <c r="B8" s="69" t="s">
        <v>45</v>
      </c>
      <c r="C8" s="69" t="s">
        <v>46</v>
      </c>
      <c r="D8" s="68" t="s">
        <v>36</v>
      </c>
      <c r="E8" s="72">
        <v>7561.5</v>
      </c>
      <c r="F8" s="73">
        <v>0.005</v>
      </c>
      <c r="G8" s="70">
        <f t="shared" si="1"/>
        <v>37.8075</v>
      </c>
      <c r="H8" s="31"/>
      <c r="I8" s="31">
        <f t="shared" si="0"/>
        <v>0</v>
      </c>
    </row>
    <row r="9" ht="74" customHeight="1" spans="1:9">
      <c r="A9" s="68">
        <v>7</v>
      </c>
      <c r="B9" s="69" t="s">
        <v>47</v>
      </c>
      <c r="C9" s="69" t="s">
        <v>48</v>
      </c>
      <c r="D9" s="68" t="s">
        <v>36</v>
      </c>
      <c r="E9" s="72">
        <f>14912</f>
        <v>14912</v>
      </c>
      <c r="F9" s="73">
        <v>0.005</v>
      </c>
      <c r="G9" s="70">
        <f t="shared" si="1"/>
        <v>74.56</v>
      </c>
      <c r="H9" s="31"/>
      <c r="I9" s="31">
        <f t="shared" si="0"/>
        <v>0</v>
      </c>
    </row>
    <row r="10" ht="74" customHeight="1" spans="1:9">
      <c r="A10" s="68">
        <v>8</v>
      </c>
      <c r="B10" s="69" t="s">
        <v>49</v>
      </c>
      <c r="C10" s="69" t="s">
        <v>50</v>
      </c>
      <c r="D10" s="68" t="s">
        <v>36</v>
      </c>
      <c r="E10" s="72">
        <v>2827</v>
      </c>
      <c r="F10" s="73">
        <v>0.005</v>
      </c>
      <c r="G10" s="70">
        <f t="shared" si="1"/>
        <v>14.135</v>
      </c>
      <c r="H10" s="31"/>
      <c r="I10" s="31">
        <f t="shared" si="0"/>
        <v>0</v>
      </c>
    </row>
    <row r="11" ht="74" customHeight="1" spans="1:9">
      <c r="A11" s="68">
        <v>9</v>
      </c>
      <c r="B11" s="69" t="s">
        <v>51</v>
      </c>
      <c r="C11" s="69" t="s">
        <v>52</v>
      </c>
      <c r="D11" s="74" t="s">
        <v>36</v>
      </c>
      <c r="E11" s="75">
        <f>70593.05/4</f>
        <v>17648.2625</v>
      </c>
      <c r="F11" s="73">
        <v>0.005</v>
      </c>
      <c r="G11" s="70">
        <f t="shared" si="1"/>
        <v>88.2413125</v>
      </c>
      <c r="H11" s="31"/>
      <c r="I11" s="31">
        <f t="shared" ref="I11:I29" si="2">ROUND(G11*H11,2)</f>
        <v>0</v>
      </c>
    </row>
    <row r="12" ht="74" customHeight="1" spans="1:9">
      <c r="A12" s="68">
        <v>10</v>
      </c>
      <c r="B12" s="69" t="s">
        <v>53</v>
      </c>
      <c r="C12" s="69" t="s">
        <v>54</v>
      </c>
      <c r="D12" s="74" t="s">
        <v>36</v>
      </c>
      <c r="E12" s="75">
        <f t="shared" ref="E12:E14" si="3">E11</f>
        <v>17648.2625</v>
      </c>
      <c r="F12" s="73">
        <v>0.005</v>
      </c>
      <c r="G12" s="70">
        <f t="shared" si="1"/>
        <v>88.2413125</v>
      </c>
      <c r="H12" s="31"/>
      <c r="I12" s="31">
        <f t="shared" si="2"/>
        <v>0</v>
      </c>
    </row>
    <row r="13" ht="74" customHeight="1" spans="1:9">
      <c r="A13" s="68">
        <v>11</v>
      </c>
      <c r="B13" s="69" t="s">
        <v>55</v>
      </c>
      <c r="C13" s="69" t="s">
        <v>56</v>
      </c>
      <c r="D13" s="74" t="s">
        <v>36</v>
      </c>
      <c r="E13" s="75">
        <f t="shared" si="3"/>
        <v>17648.2625</v>
      </c>
      <c r="F13" s="73">
        <v>0.005</v>
      </c>
      <c r="G13" s="70">
        <f t="shared" si="1"/>
        <v>88.2413125</v>
      </c>
      <c r="H13" s="31"/>
      <c r="I13" s="31">
        <f t="shared" si="2"/>
        <v>0</v>
      </c>
    </row>
    <row r="14" ht="74" customHeight="1" spans="1:9">
      <c r="A14" s="68">
        <v>12</v>
      </c>
      <c r="B14" s="69" t="s">
        <v>57</v>
      </c>
      <c r="C14" s="69" t="s">
        <v>58</v>
      </c>
      <c r="D14" s="74" t="s">
        <v>36</v>
      </c>
      <c r="E14" s="75">
        <f t="shared" si="3"/>
        <v>17648.2625</v>
      </c>
      <c r="F14" s="73">
        <v>0.005</v>
      </c>
      <c r="G14" s="70">
        <f t="shared" si="1"/>
        <v>88.2413125</v>
      </c>
      <c r="H14" s="31"/>
      <c r="I14" s="31">
        <f t="shared" si="2"/>
        <v>0</v>
      </c>
    </row>
    <row r="15" ht="74" customHeight="1" spans="1:9">
      <c r="A15" s="68">
        <v>13</v>
      </c>
      <c r="B15" s="76" t="s">
        <v>59</v>
      </c>
      <c r="C15" s="77" t="s">
        <v>60</v>
      </c>
      <c r="D15" s="78" t="s">
        <v>36</v>
      </c>
      <c r="E15" s="75">
        <f>520268.46-400-400</f>
        <v>519468.46</v>
      </c>
      <c r="F15" s="73">
        <v>0.005</v>
      </c>
      <c r="G15" s="70">
        <f t="shared" si="1"/>
        <v>2597.3423</v>
      </c>
      <c r="H15" s="31"/>
      <c r="I15" s="31">
        <f t="shared" si="2"/>
        <v>0</v>
      </c>
    </row>
    <row r="16" ht="74" customHeight="1" spans="1:9">
      <c r="A16" s="68">
        <v>14</v>
      </c>
      <c r="B16" s="79" t="s">
        <v>61</v>
      </c>
      <c r="C16" s="69" t="s">
        <v>62</v>
      </c>
      <c r="D16" s="74" t="s">
        <v>36</v>
      </c>
      <c r="E16" s="75">
        <f>163509.94-400-400</f>
        <v>162709.94</v>
      </c>
      <c r="F16" s="73">
        <v>0.005</v>
      </c>
      <c r="G16" s="70">
        <f t="shared" si="1"/>
        <v>813.5497</v>
      </c>
      <c r="H16" s="31"/>
      <c r="I16" s="31">
        <f t="shared" si="2"/>
        <v>0</v>
      </c>
    </row>
    <row r="17" ht="74" customHeight="1" spans="1:9">
      <c r="A17" s="68">
        <v>15</v>
      </c>
      <c r="B17" s="79" t="s">
        <v>63</v>
      </c>
      <c r="C17" s="69" t="s">
        <v>64</v>
      </c>
      <c r="D17" s="74" t="s">
        <v>36</v>
      </c>
      <c r="E17" s="75">
        <v>400</v>
      </c>
      <c r="F17" s="72">
        <v>1</v>
      </c>
      <c r="G17" s="70">
        <f t="shared" si="1"/>
        <v>400</v>
      </c>
      <c r="H17" s="31"/>
      <c r="I17" s="31">
        <f t="shared" si="2"/>
        <v>0</v>
      </c>
    </row>
    <row r="18" ht="74" customHeight="1" spans="1:9">
      <c r="A18" s="68">
        <v>16</v>
      </c>
      <c r="B18" s="79" t="s">
        <v>65</v>
      </c>
      <c r="C18" s="69" t="s">
        <v>66</v>
      </c>
      <c r="D18" s="74" t="s">
        <v>36</v>
      </c>
      <c r="E18" s="75">
        <v>400</v>
      </c>
      <c r="F18" s="72">
        <v>1</v>
      </c>
      <c r="G18" s="70">
        <f t="shared" si="1"/>
        <v>400</v>
      </c>
      <c r="H18" s="31"/>
      <c r="I18" s="31">
        <f t="shared" si="2"/>
        <v>0</v>
      </c>
    </row>
    <row r="19" ht="74" customHeight="1" spans="1:9">
      <c r="A19" s="68">
        <v>17</v>
      </c>
      <c r="B19" s="79" t="s">
        <v>67</v>
      </c>
      <c r="C19" s="69" t="s">
        <v>68</v>
      </c>
      <c r="D19" s="74" t="s">
        <v>36</v>
      </c>
      <c r="E19" s="75">
        <v>400</v>
      </c>
      <c r="F19" s="72">
        <v>1</v>
      </c>
      <c r="G19" s="70">
        <f t="shared" si="1"/>
        <v>400</v>
      </c>
      <c r="H19" s="31"/>
      <c r="I19" s="31">
        <f t="shared" si="2"/>
        <v>0</v>
      </c>
    </row>
    <row r="20" ht="74" customHeight="1" spans="1:9">
      <c r="A20" s="68">
        <v>18</v>
      </c>
      <c r="B20" s="79" t="s">
        <v>69</v>
      </c>
      <c r="C20" s="69" t="s">
        <v>70</v>
      </c>
      <c r="D20" s="74" t="s">
        <v>36</v>
      </c>
      <c r="E20" s="75">
        <v>400</v>
      </c>
      <c r="F20" s="72">
        <v>1</v>
      </c>
      <c r="G20" s="70">
        <f t="shared" si="1"/>
        <v>400</v>
      </c>
      <c r="H20" s="31"/>
      <c r="I20" s="31">
        <f t="shared" si="2"/>
        <v>0</v>
      </c>
    </row>
    <row r="21" ht="74" customHeight="1" spans="1:9">
      <c r="A21" s="68">
        <v>19</v>
      </c>
      <c r="B21" s="79" t="s">
        <v>71</v>
      </c>
      <c r="C21" s="69" t="s">
        <v>72</v>
      </c>
      <c r="D21" s="74" t="s">
        <v>73</v>
      </c>
      <c r="E21" s="75">
        <v>1751</v>
      </c>
      <c r="F21" s="73">
        <v>0.05</v>
      </c>
      <c r="G21" s="70">
        <f>ROUND(E21*F21,0)</f>
        <v>88</v>
      </c>
      <c r="H21" s="31"/>
      <c r="I21" s="31">
        <f t="shared" si="2"/>
        <v>0</v>
      </c>
    </row>
    <row r="22" ht="74" customHeight="1" spans="1:9">
      <c r="A22" s="68">
        <v>20</v>
      </c>
      <c r="B22" s="79" t="s">
        <v>71</v>
      </c>
      <c r="C22" s="69" t="s">
        <v>74</v>
      </c>
      <c r="D22" s="74" t="s">
        <v>73</v>
      </c>
      <c r="E22" s="75">
        <v>1373</v>
      </c>
      <c r="F22" s="73">
        <v>0.05</v>
      </c>
      <c r="G22" s="70">
        <f>ROUND(E22*F22,0)</f>
        <v>69</v>
      </c>
      <c r="H22" s="31"/>
      <c r="I22" s="31">
        <f t="shared" si="2"/>
        <v>0</v>
      </c>
    </row>
    <row r="23" ht="74" customHeight="1" spans="1:9">
      <c r="A23" s="68">
        <v>21</v>
      </c>
      <c r="B23" s="79" t="s">
        <v>75</v>
      </c>
      <c r="C23" s="69" t="s">
        <v>76</v>
      </c>
      <c r="D23" s="74" t="s">
        <v>73</v>
      </c>
      <c r="E23" s="75">
        <v>2513</v>
      </c>
      <c r="F23" s="73">
        <v>0.05</v>
      </c>
      <c r="G23" s="70">
        <f t="shared" ref="G23:G29" si="4">F23*E23</f>
        <v>125.65</v>
      </c>
      <c r="H23" s="31"/>
      <c r="I23" s="31">
        <f t="shared" si="2"/>
        <v>0</v>
      </c>
    </row>
    <row r="24" ht="74" customHeight="1" spans="1:9">
      <c r="A24" s="68">
        <v>22</v>
      </c>
      <c r="B24" s="79" t="s">
        <v>77</v>
      </c>
      <c r="C24" s="69" t="s">
        <v>78</v>
      </c>
      <c r="D24" s="74" t="s">
        <v>79</v>
      </c>
      <c r="E24" s="80">
        <v>57768</v>
      </c>
      <c r="F24" s="73">
        <v>0.005</v>
      </c>
      <c r="G24" s="70">
        <f t="shared" si="4"/>
        <v>288.84</v>
      </c>
      <c r="H24" s="31"/>
      <c r="I24" s="31">
        <f t="shared" si="2"/>
        <v>0</v>
      </c>
    </row>
    <row r="25" ht="74" customHeight="1" spans="1:9">
      <c r="A25" s="68">
        <v>23</v>
      </c>
      <c r="B25" s="79" t="s">
        <v>77</v>
      </c>
      <c r="C25" s="69" t="s">
        <v>80</v>
      </c>
      <c r="D25" s="74" t="s">
        <v>79</v>
      </c>
      <c r="E25" s="75">
        <v>49162</v>
      </c>
      <c r="F25" s="73">
        <v>0.005</v>
      </c>
      <c r="G25" s="70">
        <f t="shared" si="4"/>
        <v>245.81</v>
      </c>
      <c r="H25" s="31"/>
      <c r="I25" s="31">
        <f t="shared" si="2"/>
        <v>0</v>
      </c>
    </row>
    <row r="26" ht="74" customHeight="1" spans="1:9">
      <c r="A26" s="68">
        <v>24</v>
      </c>
      <c r="B26" s="79" t="s">
        <v>81</v>
      </c>
      <c r="C26" s="69" t="s">
        <v>82</v>
      </c>
      <c r="D26" s="74" t="s">
        <v>79</v>
      </c>
      <c r="E26" s="75">
        <v>8534</v>
      </c>
      <c r="F26" s="73">
        <v>0.005</v>
      </c>
      <c r="G26" s="70">
        <f t="shared" si="4"/>
        <v>42.67</v>
      </c>
      <c r="H26" s="31"/>
      <c r="I26" s="31">
        <f t="shared" si="2"/>
        <v>0</v>
      </c>
    </row>
    <row r="27" ht="74" customHeight="1" spans="1:9">
      <c r="A27" s="68">
        <v>25</v>
      </c>
      <c r="B27" s="79" t="s">
        <v>83</v>
      </c>
      <c r="C27" s="69" t="s">
        <v>84</v>
      </c>
      <c r="D27" s="74" t="s">
        <v>79</v>
      </c>
      <c r="E27" s="75">
        <v>86579.8</v>
      </c>
      <c r="F27" s="73">
        <v>0.005</v>
      </c>
      <c r="G27" s="70">
        <f t="shared" si="4"/>
        <v>432.899</v>
      </c>
      <c r="H27" s="31"/>
      <c r="I27" s="31">
        <f t="shared" si="2"/>
        <v>0</v>
      </c>
    </row>
    <row r="28" ht="74" customHeight="1" spans="1:9">
      <c r="A28" s="68">
        <v>26</v>
      </c>
      <c r="B28" s="79" t="s">
        <v>83</v>
      </c>
      <c r="C28" s="69" t="s">
        <v>85</v>
      </c>
      <c r="D28" s="74" t="s">
        <v>79</v>
      </c>
      <c r="E28" s="75">
        <v>79321</v>
      </c>
      <c r="F28" s="73">
        <v>0.005</v>
      </c>
      <c r="G28" s="70">
        <f t="shared" si="4"/>
        <v>396.605</v>
      </c>
      <c r="H28" s="31"/>
      <c r="I28" s="31">
        <f t="shared" si="2"/>
        <v>0</v>
      </c>
    </row>
    <row r="29" ht="74" customHeight="1" spans="1:9">
      <c r="A29" s="68">
        <v>27</v>
      </c>
      <c r="B29" s="79" t="s">
        <v>86</v>
      </c>
      <c r="C29" s="69" t="s">
        <v>87</v>
      </c>
      <c r="D29" s="74" t="s">
        <v>79</v>
      </c>
      <c r="E29" s="70">
        <v>7034.12</v>
      </c>
      <c r="F29" s="70">
        <v>1</v>
      </c>
      <c r="G29" s="70">
        <f t="shared" si="4"/>
        <v>7034.12</v>
      </c>
      <c r="H29" s="31"/>
      <c r="I29" s="31">
        <f t="shared" si="2"/>
        <v>0</v>
      </c>
    </row>
    <row r="30" ht="32" customHeight="1" spans="1:9">
      <c r="A30" s="81" t="s">
        <v>24</v>
      </c>
      <c r="B30" s="82"/>
      <c r="C30" s="82"/>
      <c r="D30" s="82"/>
      <c r="E30" s="82"/>
      <c r="F30" s="82"/>
      <c r="G30" s="82"/>
      <c r="H30" s="83"/>
      <c r="I30" s="34">
        <f>SUM(I3:I29)</f>
        <v>0</v>
      </c>
    </row>
    <row r="31" ht="23" customHeight="1" spans="1:9">
      <c r="A31" s="14" t="s">
        <v>88</v>
      </c>
      <c r="B31" s="14"/>
      <c r="C31" s="14"/>
      <c r="D31" s="14"/>
      <c r="E31" s="35"/>
      <c r="F31" s="35"/>
      <c r="G31" s="35"/>
      <c r="H31" s="14"/>
      <c r="I31" s="14"/>
    </row>
    <row r="32" ht="78" customHeight="1" spans="1:9">
      <c r="A32" s="36"/>
      <c r="B32" s="37"/>
      <c r="C32" s="36"/>
      <c r="D32" s="36"/>
      <c r="E32" s="36"/>
      <c r="F32" s="36"/>
      <c r="G32" s="36"/>
      <c r="H32" s="37"/>
      <c r="I32" s="38"/>
    </row>
    <row r="33" ht="78" customHeight="1" spans="1:9">
      <c r="A33" s="36"/>
      <c r="B33" s="37"/>
      <c r="C33" s="36"/>
      <c r="D33" s="36"/>
      <c r="E33" s="36"/>
      <c r="F33" s="36"/>
      <c r="G33" s="36"/>
      <c r="H33" s="37"/>
      <c r="I33" s="38"/>
    </row>
    <row r="34" spans="1:9">
      <c r="A34" s="36"/>
      <c r="B34" s="37"/>
      <c r="C34" s="36"/>
      <c r="D34" s="36"/>
      <c r="E34" s="36"/>
      <c r="F34" s="36"/>
      <c r="G34" s="36"/>
      <c r="H34" s="37"/>
      <c r="I34" s="38"/>
    </row>
    <row r="35" spans="1:9">
      <c r="A35" s="36"/>
      <c r="B35" s="37"/>
      <c r="C35" s="36"/>
      <c r="D35" s="36"/>
      <c r="E35" s="36"/>
      <c r="F35" s="36"/>
      <c r="G35" s="36"/>
      <c r="H35" s="37"/>
      <c r="I35" s="38"/>
    </row>
    <row r="36" spans="1:9">
      <c r="A36" s="36"/>
      <c r="B36" s="37"/>
      <c r="C36" s="36"/>
      <c r="D36" s="36"/>
      <c r="E36" s="36"/>
      <c r="F36" s="36"/>
      <c r="G36" s="36"/>
      <c r="H36" s="37"/>
      <c r="I36" s="38"/>
    </row>
  </sheetData>
  <sheetProtection algorithmName="SHA-512" hashValue="XIdaPZiUjp0J97pMOOQKTTvjYpnqbU3c704h52NIqoFg5im9R0PBDArNRQiTllfqPxZ3w0VvicNUZag1n8eRng==" saltValue="L8ItE+MXXTTaMr0dGkbIXg==" spinCount="100000" sheet="1" objects="1"/>
  <mergeCells count="3">
    <mergeCell ref="A1:I1"/>
    <mergeCell ref="A30:D30"/>
    <mergeCell ref="A31:I31"/>
  </mergeCells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Zeros="0" topLeftCell="A6" workbookViewId="0">
      <selection activeCell="G12" sqref="G12"/>
    </sheetView>
  </sheetViews>
  <sheetFormatPr defaultColWidth="8.96666666666667" defaultRowHeight="15"/>
  <cols>
    <col min="1" max="1" width="5.56666666666667" style="16" customWidth="1"/>
    <col min="2" max="2" width="23.5" style="16"/>
    <col min="3" max="3" width="35.75" style="16"/>
    <col min="4" max="4" width="7.31666666666667" style="16"/>
    <col min="5" max="5" width="11.125" style="16" hidden="1" customWidth="1"/>
    <col min="6" max="6" width="11.125" style="16"/>
    <col min="7" max="7" width="10.6916666666667" style="45"/>
    <col min="8" max="8" width="10.6916666666667" style="45" hidden="1" customWidth="1"/>
    <col min="9" max="9" width="11.75" style="16"/>
    <col min="10" max="10" width="11.125" style="16" hidden="1" customWidth="1"/>
    <col min="11" max="11" width="10.6916666666667" style="16" hidden="1" customWidth="1"/>
    <col min="12" max="12" width="10.6916666666667" style="45" hidden="1" customWidth="1"/>
    <col min="13" max="13" width="11.75" style="16" hidden="1" customWidth="1"/>
    <col min="14" max="248" width="8.49166666666667" style="16"/>
    <col min="249" max="251" width="8.49166666666667"/>
  </cols>
  <sheetData>
    <row r="1" s="16" customFormat="1" ht="34.55" customHeight="1" spans="1:13">
      <c r="A1" s="57" t="s">
        <v>89</v>
      </c>
      <c r="B1" s="57"/>
      <c r="C1" s="57"/>
      <c r="D1" s="57"/>
      <c r="E1" s="57"/>
      <c r="F1" s="57"/>
      <c r="G1" s="57"/>
      <c r="H1" s="57"/>
      <c r="I1" s="57"/>
      <c r="J1" s="57" t="s">
        <v>90</v>
      </c>
      <c r="K1" s="57"/>
      <c r="L1" s="57"/>
      <c r="M1" s="57"/>
    </row>
    <row r="2" s="16" customFormat="1" ht="41" customHeight="1" spans="1:13">
      <c r="A2" s="58" t="s">
        <v>1</v>
      </c>
      <c r="B2" s="58" t="s">
        <v>91</v>
      </c>
      <c r="C2" s="58" t="s">
        <v>92</v>
      </c>
      <c r="D2" s="58" t="s">
        <v>93</v>
      </c>
      <c r="E2" s="59" t="s">
        <v>30</v>
      </c>
      <c r="F2" s="59" t="s">
        <v>30</v>
      </c>
      <c r="G2" s="59" t="s">
        <v>32</v>
      </c>
      <c r="H2" s="59" t="s">
        <v>94</v>
      </c>
      <c r="I2" s="60" t="s">
        <v>33</v>
      </c>
      <c r="J2" s="58" t="s">
        <v>30</v>
      </c>
      <c r="K2" s="58" t="s">
        <v>32</v>
      </c>
      <c r="L2" s="58" t="s">
        <v>94</v>
      </c>
      <c r="M2" s="61" t="s">
        <v>33</v>
      </c>
    </row>
    <row r="3" s="16" customFormat="1" ht="43" customHeight="1" spans="1:13">
      <c r="A3" s="6" t="s">
        <v>95</v>
      </c>
      <c r="B3" s="7" t="s">
        <v>96</v>
      </c>
      <c r="C3" s="7" t="s">
        <v>97</v>
      </c>
      <c r="D3" s="6" t="s">
        <v>79</v>
      </c>
      <c r="E3" s="39">
        <f>25719.9*0.5</f>
        <v>12859.95</v>
      </c>
      <c r="F3" s="39">
        <f t="shared" ref="F3:F15" si="0">E3*H3</f>
        <v>25719.9</v>
      </c>
      <c r="G3" s="62"/>
      <c r="H3" s="8">
        <v>2</v>
      </c>
      <c r="I3" s="63">
        <f t="shared" ref="I3:I15" si="1">ROUND(F3*G3,2)</f>
        <v>0</v>
      </c>
      <c r="J3" s="39" t="e">
        <f>#REF!-E3</f>
        <v>#REF!</v>
      </c>
      <c r="K3" s="64">
        <v>6.99</v>
      </c>
      <c r="L3" s="6">
        <v>1</v>
      </c>
      <c r="M3" s="65" t="e">
        <f t="shared" ref="M3:M13" si="2">J3*K3*L3</f>
        <v>#REF!</v>
      </c>
    </row>
    <row r="4" s="16" customFormat="1" ht="43" customHeight="1" spans="1:13">
      <c r="A4" s="6" t="s">
        <v>98</v>
      </c>
      <c r="B4" s="7" t="s">
        <v>99</v>
      </c>
      <c r="C4" s="7" t="s">
        <v>100</v>
      </c>
      <c r="D4" s="6" t="s">
        <v>79</v>
      </c>
      <c r="E4" s="39">
        <f>(20612.8+1336.9)*0.5</f>
        <v>10974.85</v>
      </c>
      <c r="F4" s="39">
        <f t="shared" si="0"/>
        <v>21949.7</v>
      </c>
      <c r="G4" s="62"/>
      <c r="H4" s="8">
        <v>2</v>
      </c>
      <c r="I4" s="63">
        <f t="shared" si="1"/>
        <v>0</v>
      </c>
      <c r="J4" s="39" t="e">
        <f>#REF!-E4</f>
        <v>#REF!</v>
      </c>
      <c r="K4" s="64">
        <v>8.11</v>
      </c>
      <c r="L4" s="6">
        <v>1</v>
      </c>
      <c r="M4" s="65" t="e">
        <f t="shared" si="2"/>
        <v>#REF!</v>
      </c>
    </row>
    <row r="5" s="16" customFormat="1" ht="43" customHeight="1" spans="1:13">
      <c r="A5" s="6" t="s">
        <v>101</v>
      </c>
      <c r="B5" s="7" t="s">
        <v>102</v>
      </c>
      <c r="C5" s="7" t="s">
        <v>103</v>
      </c>
      <c r="D5" s="6" t="s">
        <v>79</v>
      </c>
      <c r="E5" s="39">
        <f>11014*0.5</f>
        <v>5507</v>
      </c>
      <c r="F5" s="39">
        <f t="shared" si="0"/>
        <v>11014</v>
      </c>
      <c r="G5" s="62"/>
      <c r="H5" s="8">
        <v>2</v>
      </c>
      <c r="I5" s="63">
        <f t="shared" si="1"/>
        <v>0</v>
      </c>
      <c r="J5" s="39" t="e">
        <f>#REF!-E5</f>
        <v>#REF!</v>
      </c>
      <c r="K5" s="64">
        <v>9.3</v>
      </c>
      <c r="L5" s="6">
        <v>1</v>
      </c>
      <c r="M5" s="65" t="e">
        <f t="shared" si="2"/>
        <v>#REF!</v>
      </c>
    </row>
    <row r="6" s="16" customFormat="1" ht="43" customHeight="1" spans="1:13">
      <c r="A6" s="6" t="s">
        <v>104</v>
      </c>
      <c r="B6" s="7" t="s">
        <v>105</v>
      </c>
      <c r="C6" s="7" t="s">
        <v>106</v>
      </c>
      <c r="D6" s="6" t="s">
        <v>79</v>
      </c>
      <c r="E6" s="39">
        <f>11509.8*0.5</f>
        <v>5754.9</v>
      </c>
      <c r="F6" s="39">
        <f t="shared" si="0"/>
        <v>11509.8</v>
      </c>
      <c r="G6" s="62"/>
      <c r="H6" s="8">
        <v>2</v>
      </c>
      <c r="I6" s="63">
        <f t="shared" si="1"/>
        <v>0</v>
      </c>
      <c r="J6" s="39" t="e">
        <f>#REF!-E6</f>
        <v>#REF!</v>
      </c>
      <c r="K6" s="64">
        <v>11.52</v>
      </c>
      <c r="L6" s="6">
        <v>1</v>
      </c>
      <c r="M6" s="65" t="e">
        <f t="shared" si="2"/>
        <v>#REF!</v>
      </c>
    </row>
    <row r="7" s="16" customFormat="1" ht="43" customHeight="1" spans="1:13">
      <c r="A7" s="6" t="s">
        <v>107</v>
      </c>
      <c r="B7" s="7" t="s">
        <v>108</v>
      </c>
      <c r="C7" s="7" t="s">
        <v>109</v>
      </c>
      <c r="D7" s="6" t="s">
        <v>79</v>
      </c>
      <c r="E7" s="39">
        <f>6471.2*0.5</f>
        <v>3235.6</v>
      </c>
      <c r="F7" s="39">
        <f t="shared" si="0"/>
        <v>6471.2</v>
      </c>
      <c r="G7" s="62"/>
      <c r="H7" s="8">
        <v>2</v>
      </c>
      <c r="I7" s="63">
        <f t="shared" si="1"/>
        <v>0</v>
      </c>
      <c r="J7" s="39" t="e">
        <f>#REF!-E7</f>
        <v>#REF!</v>
      </c>
      <c r="K7" s="64">
        <v>13.81</v>
      </c>
      <c r="L7" s="6">
        <v>0.5</v>
      </c>
      <c r="M7" s="65" t="e">
        <f t="shared" si="2"/>
        <v>#REF!</v>
      </c>
    </row>
    <row r="8" s="16" customFormat="1" ht="43" customHeight="1" spans="1:13">
      <c r="A8" s="6" t="s">
        <v>110</v>
      </c>
      <c r="B8" s="7" t="s">
        <v>111</v>
      </c>
      <c r="C8" s="7" t="s">
        <v>112</v>
      </c>
      <c r="D8" s="6" t="s">
        <v>79</v>
      </c>
      <c r="E8" s="39">
        <f>444.2*0.5</f>
        <v>222.1</v>
      </c>
      <c r="F8" s="39">
        <f t="shared" si="0"/>
        <v>444.2</v>
      </c>
      <c r="G8" s="62"/>
      <c r="H8" s="8">
        <v>2</v>
      </c>
      <c r="I8" s="63">
        <f t="shared" si="1"/>
        <v>0</v>
      </c>
      <c r="J8" s="39" t="e">
        <f>#REF!-E8</f>
        <v>#REF!</v>
      </c>
      <c r="K8" s="64">
        <v>16.6</v>
      </c>
      <c r="L8" s="6">
        <v>0.5</v>
      </c>
      <c r="M8" s="65" t="e">
        <f t="shared" si="2"/>
        <v>#REF!</v>
      </c>
    </row>
    <row r="9" s="16" customFormat="1" ht="43" customHeight="1" spans="1:13">
      <c r="A9" s="6" t="s">
        <v>113</v>
      </c>
      <c r="B9" s="7" t="s">
        <v>114</v>
      </c>
      <c r="C9" s="7" t="s">
        <v>115</v>
      </c>
      <c r="D9" s="6" t="s">
        <v>73</v>
      </c>
      <c r="E9" s="10">
        <f>1707*0.333</f>
        <v>568.431</v>
      </c>
      <c r="F9" s="10">
        <f t="shared" si="0"/>
        <v>1136.862</v>
      </c>
      <c r="G9" s="62"/>
      <c r="H9" s="8">
        <v>2</v>
      </c>
      <c r="I9" s="63">
        <f t="shared" si="1"/>
        <v>0</v>
      </c>
      <c r="J9" s="39" t="e">
        <f>#REF!-E9</f>
        <v>#REF!</v>
      </c>
      <c r="K9" s="64">
        <v>31.47</v>
      </c>
      <c r="L9" s="6">
        <v>1</v>
      </c>
      <c r="M9" s="65" t="e">
        <f t="shared" si="2"/>
        <v>#REF!</v>
      </c>
    </row>
    <row r="10" s="16" customFormat="1" ht="43" customHeight="1" spans="1:13">
      <c r="A10" s="6" t="s">
        <v>116</v>
      </c>
      <c r="B10" s="7" t="s">
        <v>114</v>
      </c>
      <c r="C10" s="7" t="s">
        <v>117</v>
      </c>
      <c r="D10" s="6" t="s">
        <v>73</v>
      </c>
      <c r="E10" s="10">
        <f>1707*0.333</f>
        <v>568.431</v>
      </c>
      <c r="F10" s="10">
        <f t="shared" si="0"/>
        <v>1136.862</v>
      </c>
      <c r="G10" s="62"/>
      <c r="H10" s="8">
        <v>2</v>
      </c>
      <c r="I10" s="63">
        <f t="shared" si="1"/>
        <v>0</v>
      </c>
      <c r="J10" s="39" t="e">
        <f>#REF!-E10</f>
        <v>#REF!</v>
      </c>
      <c r="K10" s="64">
        <v>45.77</v>
      </c>
      <c r="L10" s="6">
        <v>1</v>
      </c>
      <c r="M10" s="65" t="e">
        <f t="shared" si="2"/>
        <v>#REF!</v>
      </c>
    </row>
    <row r="11" s="16" customFormat="1" ht="43" customHeight="1" spans="1:13">
      <c r="A11" s="6" t="s">
        <v>118</v>
      </c>
      <c r="B11" s="7" t="s">
        <v>114</v>
      </c>
      <c r="C11" s="7" t="s">
        <v>119</v>
      </c>
      <c r="D11" s="6" t="s">
        <v>73</v>
      </c>
      <c r="E11" s="10">
        <f>1707*0.333</f>
        <v>568.431</v>
      </c>
      <c r="F11" s="10">
        <f t="shared" si="0"/>
        <v>1136.862</v>
      </c>
      <c r="G11" s="62"/>
      <c r="H11" s="8">
        <v>2</v>
      </c>
      <c r="I11" s="63">
        <f t="shared" si="1"/>
        <v>0</v>
      </c>
      <c r="J11" s="39" t="e">
        <f>#REF!-E11</f>
        <v>#REF!</v>
      </c>
      <c r="K11" s="64">
        <v>64.37</v>
      </c>
      <c r="L11" s="6">
        <v>1</v>
      </c>
      <c r="M11" s="65" t="e">
        <f t="shared" si="2"/>
        <v>#REF!</v>
      </c>
    </row>
    <row r="12" s="16" customFormat="1" ht="43" customHeight="1" spans="1:13">
      <c r="A12" s="6" t="s">
        <v>120</v>
      </c>
      <c r="B12" s="7" t="s">
        <v>114</v>
      </c>
      <c r="C12" s="7" t="s">
        <v>121</v>
      </c>
      <c r="D12" s="6" t="s">
        <v>73</v>
      </c>
      <c r="E12" s="10">
        <f>1707*0.3</f>
        <v>512.1</v>
      </c>
      <c r="F12" s="10">
        <f t="shared" si="0"/>
        <v>1024.2</v>
      </c>
      <c r="G12" s="62"/>
      <c r="H12" s="8">
        <v>2</v>
      </c>
      <c r="I12" s="63">
        <f t="shared" si="1"/>
        <v>0</v>
      </c>
      <c r="J12" s="39" t="e">
        <f>#REF!-E12</f>
        <v>#REF!</v>
      </c>
      <c r="K12" s="64">
        <v>182.97</v>
      </c>
      <c r="L12" s="6">
        <v>1</v>
      </c>
      <c r="M12" s="65" t="e">
        <f t="shared" si="2"/>
        <v>#REF!</v>
      </c>
    </row>
    <row r="13" s="16" customFormat="1" ht="43" customHeight="1" spans="1:13">
      <c r="A13" s="6" t="s">
        <v>122</v>
      </c>
      <c r="B13" s="7" t="s">
        <v>71</v>
      </c>
      <c r="C13" s="7" t="s">
        <v>123</v>
      </c>
      <c r="D13" s="6" t="s">
        <v>73</v>
      </c>
      <c r="E13" s="10">
        <v>3124</v>
      </c>
      <c r="F13" s="10">
        <f t="shared" si="0"/>
        <v>6248</v>
      </c>
      <c r="G13" s="62"/>
      <c r="H13" s="8">
        <v>2</v>
      </c>
      <c r="I13" s="63">
        <f t="shared" si="1"/>
        <v>0</v>
      </c>
      <c r="J13" s="39" t="e">
        <f>#REF!-E13</f>
        <v>#REF!</v>
      </c>
      <c r="K13" s="64">
        <v>14.48</v>
      </c>
      <c r="L13" s="6">
        <v>1</v>
      </c>
      <c r="M13" s="65" t="e">
        <f t="shared" si="2"/>
        <v>#REF!</v>
      </c>
    </row>
    <row r="14" s="16" customFormat="1" ht="43" customHeight="1" spans="1:13">
      <c r="A14" s="6" t="s">
        <v>124</v>
      </c>
      <c r="B14" s="6"/>
      <c r="C14" s="6"/>
      <c r="D14" s="6"/>
      <c r="E14" s="6"/>
      <c r="F14" s="6"/>
      <c r="G14" s="8"/>
      <c r="H14" s="8"/>
      <c r="I14" s="66">
        <f>SUM(I3:I13)</f>
        <v>0</v>
      </c>
      <c r="J14" s="6"/>
      <c r="K14" s="6"/>
      <c r="L14" s="6"/>
      <c r="M14" s="67" t="e">
        <f>SUM(M3:M13)</f>
        <v>#REF!</v>
      </c>
    </row>
    <row r="15" ht="43" customHeight="1" spans="1:13">
      <c r="A15" s="14" t="s">
        <v>88</v>
      </c>
      <c r="B15" s="14"/>
      <c r="C15" s="14"/>
      <c r="D15" s="14"/>
      <c r="E15" s="14"/>
      <c r="F15" s="14"/>
      <c r="G15" s="35"/>
      <c r="H15" s="14"/>
    </row>
  </sheetData>
  <sheetProtection algorithmName="SHA-512" hashValue="9zKoHCyZh5AO2smp3/jLUXmV2Zu2q+Wh5SB7+wYCRkPhdXb9QoknK1/TTmUD3gt+Kg9DLiKBIo+WVSoWzLAc4Q==" saltValue="zfepJBqiQ79+DetW3wrfyg==" spinCount="100000" sheet="1" objects="1"/>
  <mergeCells count="4">
    <mergeCell ref="A1:I1"/>
    <mergeCell ref="J1:M1"/>
    <mergeCell ref="A14:D14"/>
    <mergeCell ref="A15:H15"/>
  </mergeCells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showZeros="0" workbookViewId="0">
      <selection activeCell="N5" sqref="N5"/>
    </sheetView>
  </sheetViews>
  <sheetFormatPr defaultColWidth="8.96666666666667" defaultRowHeight="15"/>
  <cols>
    <col min="1" max="1" width="6.94166666666667" style="16"/>
    <col min="2" max="2" width="22.6916666666667" style="16"/>
    <col min="3" max="3" width="33.3166666666667" style="16"/>
    <col min="4" max="4" width="6.75" style="16"/>
    <col min="5" max="5" width="10.8166666666667" style="45" hidden="1" customWidth="1"/>
    <col min="6" max="7" width="10.8166666666667" style="45"/>
    <col min="8" max="8" width="10.8166666666667" style="45" hidden="1" customWidth="1"/>
    <col min="9" max="9" width="11.75" style="45"/>
    <col min="10" max="245" width="8.49166666666667" style="16"/>
    <col min="246" max="247" width="8.49166666666667"/>
  </cols>
  <sheetData>
    <row r="1" s="16" customFormat="1" ht="34.55" customHeight="1" spans="1:9">
      <c r="A1" s="46" t="s">
        <v>125</v>
      </c>
      <c r="B1" s="46"/>
      <c r="C1" s="46"/>
      <c r="D1" s="46"/>
      <c r="E1" s="46"/>
      <c r="F1" s="46"/>
      <c r="G1" s="46"/>
      <c r="H1" s="46"/>
      <c r="I1" s="46"/>
    </row>
    <row r="2" s="16" customFormat="1" ht="41" customHeight="1" spans="1:9">
      <c r="A2" s="3" t="s">
        <v>1</v>
      </c>
      <c r="B2" s="3" t="s">
        <v>91</v>
      </c>
      <c r="C2" s="3" t="s">
        <v>92</v>
      </c>
      <c r="D2" s="3" t="s">
        <v>93</v>
      </c>
      <c r="E2" s="47" t="s">
        <v>30</v>
      </c>
      <c r="F2" s="48" t="s">
        <v>30</v>
      </c>
      <c r="G2" s="49" t="s">
        <v>32</v>
      </c>
      <c r="H2" s="49" t="s">
        <v>94</v>
      </c>
      <c r="I2" s="50" t="s">
        <v>33</v>
      </c>
    </row>
    <row r="3" s="16" customFormat="1" ht="45" customHeight="1" spans="1:9">
      <c r="A3" s="5">
        <v>1</v>
      </c>
      <c r="B3" s="20" t="s">
        <v>126</v>
      </c>
      <c r="C3" s="20" t="s">
        <v>127</v>
      </c>
      <c r="D3" s="5" t="s">
        <v>79</v>
      </c>
      <c r="E3" s="51">
        <f>20513.1*0.5</f>
        <v>10256.55</v>
      </c>
      <c r="F3" s="5">
        <f t="shared" ref="F3:F12" si="0">E3*H3</f>
        <v>20513.1</v>
      </c>
      <c r="G3" s="8"/>
      <c r="H3" s="52">
        <v>2</v>
      </c>
      <c r="I3" s="53">
        <f t="shared" ref="I3:I12" si="1">ROUND(F3*G3,2)</f>
        <v>0</v>
      </c>
    </row>
    <row r="4" s="16" customFormat="1" ht="45" customHeight="1" spans="1:9">
      <c r="A4" s="5">
        <v>2</v>
      </c>
      <c r="B4" s="20" t="s">
        <v>128</v>
      </c>
      <c r="C4" s="20" t="s">
        <v>129</v>
      </c>
      <c r="D4" s="5" t="s">
        <v>79</v>
      </c>
      <c r="E4" s="51">
        <f>5727.9*0.5</f>
        <v>2863.95</v>
      </c>
      <c r="F4" s="5">
        <f t="shared" si="0"/>
        <v>5727.9</v>
      </c>
      <c r="G4" s="8"/>
      <c r="H4" s="52">
        <v>2</v>
      </c>
      <c r="I4" s="53">
        <f t="shared" si="1"/>
        <v>0</v>
      </c>
    </row>
    <row r="5" s="16" customFormat="1" ht="42" customHeight="1" spans="1:9">
      <c r="A5" s="5">
        <v>3</v>
      </c>
      <c r="B5" s="20" t="s">
        <v>130</v>
      </c>
      <c r="C5" s="20" t="s">
        <v>131</v>
      </c>
      <c r="D5" s="5" t="s">
        <v>79</v>
      </c>
      <c r="E5" s="51">
        <f>1342*0.5</f>
        <v>671</v>
      </c>
      <c r="F5" s="5">
        <f t="shared" si="0"/>
        <v>1342</v>
      </c>
      <c r="G5" s="8"/>
      <c r="H5" s="52">
        <v>2</v>
      </c>
      <c r="I5" s="53">
        <f t="shared" si="1"/>
        <v>0</v>
      </c>
    </row>
    <row r="6" s="16" customFormat="1" ht="48" customHeight="1" spans="1:9">
      <c r="A6" s="5">
        <v>4</v>
      </c>
      <c r="B6" s="20" t="s">
        <v>132</v>
      </c>
      <c r="C6" s="20" t="s">
        <v>133</v>
      </c>
      <c r="D6" s="5" t="s">
        <v>79</v>
      </c>
      <c r="E6" s="51">
        <f>715*0.5</f>
        <v>357.5</v>
      </c>
      <c r="F6" s="5">
        <f t="shared" si="0"/>
        <v>715</v>
      </c>
      <c r="G6" s="8"/>
      <c r="H6" s="52">
        <v>2</v>
      </c>
      <c r="I6" s="53">
        <f t="shared" si="1"/>
        <v>0</v>
      </c>
    </row>
    <row r="7" s="16" customFormat="1" ht="49.3" customHeight="1" spans="1:9">
      <c r="A7" s="5">
        <v>5</v>
      </c>
      <c r="B7" s="20" t="s">
        <v>134</v>
      </c>
      <c r="C7" s="20" t="s">
        <v>135</v>
      </c>
      <c r="D7" s="5" t="s">
        <v>79</v>
      </c>
      <c r="E7" s="51">
        <v>20</v>
      </c>
      <c r="F7" s="5">
        <f t="shared" si="0"/>
        <v>40</v>
      </c>
      <c r="G7" s="8"/>
      <c r="H7" s="52">
        <v>2</v>
      </c>
      <c r="I7" s="53">
        <f t="shared" si="1"/>
        <v>0</v>
      </c>
    </row>
    <row r="8" s="16" customFormat="1" ht="43" customHeight="1" spans="1:9">
      <c r="A8" s="5">
        <v>6</v>
      </c>
      <c r="B8" s="20" t="s">
        <v>136</v>
      </c>
      <c r="C8" s="7" t="s">
        <v>137</v>
      </c>
      <c r="D8" s="6" t="s">
        <v>79</v>
      </c>
      <c r="E8" s="51">
        <f>4583.5*0.5</f>
        <v>2291.75</v>
      </c>
      <c r="F8" s="5">
        <f t="shared" si="0"/>
        <v>4583.5</v>
      </c>
      <c r="G8" s="8"/>
      <c r="H8" s="52">
        <v>2</v>
      </c>
      <c r="I8" s="53">
        <f t="shared" si="1"/>
        <v>0</v>
      </c>
    </row>
    <row r="9" s="16" customFormat="1" ht="48.55" customHeight="1" spans="1:9">
      <c r="A9" s="5">
        <v>7</v>
      </c>
      <c r="B9" s="7" t="s">
        <v>114</v>
      </c>
      <c r="C9" s="7" t="s">
        <v>138</v>
      </c>
      <c r="D9" s="5" t="s">
        <v>73</v>
      </c>
      <c r="E9" s="54">
        <f>806*0.333</f>
        <v>268.398</v>
      </c>
      <c r="F9" s="55">
        <f t="shared" si="0"/>
        <v>536.796</v>
      </c>
      <c r="G9" s="8"/>
      <c r="H9" s="52">
        <v>2</v>
      </c>
      <c r="I9" s="53">
        <f t="shared" si="1"/>
        <v>0</v>
      </c>
    </row>
    <row r="10" s="16" customFormat="1" ht="48.55" customHeight="1" spans="1:9">
      <c r="A10" s="5">
        <v>8</v>
      </c>
      <c r="B10" s="7" t="s">
        <v>114</v>
      </c>
      <c r="C10" s="7" t="s">
        <v>139</v>
      </c>
      <c r="D10" s="5" t="s">
        <v>73</v>
      </c>
      <c r="E10" s="54">
        <f>806*0.333</f>
        <v>268.398</v>
      </c>
      <c r="F10" s="55">
        <f t="shared" si="0"/>
        <v>536.796</v>
      </c>
      <c r="G10" s="8"/>
      <c r="H10" s="52">
        <v>2</v>
      </c>
      <c r="I10" s="53">
        <f t="shared" si="1"/>
        <v>0</v>
      </c>
    </row>
    <row r="11" s="16" customFormat="1" ht="48.55" customHeight="1" spans="1:9">
      <c r="A11" s="5">
        <v>9</v>
      </c>
      <c r="B11" s="7" t="s">
        <v>114</v>
      </c>
      <c r="C11" s="7" t="s">
        <v>140</v>
      </c>
      <c r="D11" s="5" t="s">
        <v>73</v>
      </c>
      <c r="E11" s="54">
        <f>806*0.333</f>
        <v>268.398</v>
      </c>
      <c r="F11" s="55">
        <f t="shared" si="0"/>
        <v>536.796</v>
      </c>
      <c r="G11" s="8"/>
      <c r="H11" s="52">
        <v>2</v>
      </c>
      <c r="I11" s="53">
        <f t="shared" si="1"/>
        <v>0</v>
      </c>
    </row>
    <row r="12" s="16" customFormat="1" ht="48.55" customHeight="1" spans="1:9">
      <c r="A12" s="5">
        <v>10</v>
      </c>
      <c r="B12" s="7" t="s">
        <v>114</v>
      </c>
      <c r="C12" s="7" t="s">
        <v>141</v>
      </c>
      <c r="D12" s="5" t="s">
        <v>73</v>
      </c>
      <c r="E12" s="54">
        <f>806*0.333</f>
        <v>268.398</v>
      </c>
      <c r="F12" s="55">
        <f t="shared" si="0"/>
        <v>536.796</v>
      </c>
      <c r="G12" s="8"/>
      <c r="H12" s="52">
        <v>2</v>
      </c>
      <c r="I12" s="53">
        <f t="shared" si="1"/>
        <v>0</v>
      </c>
    </row>
    <row r="13" s="16" customFormat="1" ht="22.8" customHeight="1" spans="1:9">
      <c r="A13" s="5" t="s">
        <v>124</v>
      </c>
      <c r="B13" s="5"/>
      <c r="C13" s="5"/>
      <c r="D13" s="5"/>
      <c r="E13" s="51"/>
      <c r="F13" s="5"/>
      <c r="G13" s="52"/>
      <c r="H13" s="52"/>
      <c r="I13" s="56">
        <f>SUM(I3:I12)</f>
        <v>0</v>
      </c>
    </row>
    <row r="14" ht="22" customHeight="1" spans="1:9">
      <c r="A14" s="14" t="s">
        <v>88</v>
      </c>
      <c r="B14" s="14"/>
      <c r="C14" s="14"/>
      <c r="D14" s="14"/>
      <c r="E14" s="35"/>
      <c r="F14" s="35"/>
      <c r="G14" s="35"/>
      <c r="H14" s="35"/>
    </row>
  </sheetData>
  <sheetProtection algorithmName="SHA-512" hashValue="lWcIItrVZsc1YecHoB3/PLf1sVReMvOCUL1fP4WV4H/QKOO7RHj0dVNYgkYZkO5HYUnLOZx9C7++V/Nj9ze9gQ==" saltValue="liBPTMXyKxB8cD4TotOX9A==" spinCount="100000" sheet="1" objects="1"/>
  <mergeCells count="3">
    <mergeCell ref="A1:I1"/>
    <mergeCell ref="A13:D13"/>
    <mergeCell ref="A14:H14"/>
  </mergeCells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showZeros="0" workbookViewId="0">
      <selection activeCell="A1" sqref="A1:K1"/>
    </sheetView>
  </sheetViews>
  <sheetFormatPr defaultColWidth="8.96666666666667" defaultRowHeight="15"/>
  <cols>
    <col min="1" max="1" width="5.81666666666667" style="15"/>
    <col min="2" max="2" width="20" style="25"/>
    <col min="3" max="3" width="30.3333333333333" style="15" customWidth="1"/>
    <col min="4" max="4" width="5.49166666666667" style="15"/>
    <col min="5" max="6" width="11.5666666666667" style="25" hidden="1" customWidth="1"/>
    <col min="7" max="7" width="11.5666666666667" style="26" hidden="1" customWidth="1"/>
    <col min="8" max="8" width="13.75" style="25" hidden="1" customWidth="1"/>
    <col min="9" max="10" width="11.5666666666667" style="25"/>
    <col min="11" max="11" width="11.5666666666667" style="26"/>
    <col min="12" max="13" width="11.5666666666667" style="25" hidden="1" customWidth="1"/>
    <col min="14" max="14" width="11.5666666666667" style="26" hidden="1" customWidth="1"/>
    <col min="15" max="247" width="10.6"/>
  </cols>
  <sheetData>
    <row r="1" ht="35" customHeight="1" spans="1:14">
      <c r="A1" s="27" t="s">
        <v>142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 t="s">
        <v>90</v>
      </c>
      <c r="M1" s="27"/>
      <c r="N1" s="27"/>
    </row>
    <row r="2" ht="9" customHeight="1" spans="1:1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="15" customFormat="1" ht="28.35" customHeight="1" spans="1:14">
      <c r="A3" s="3" t="s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32</v>
      </c>
      <c r="G3" s="4" t="s">
        <v>33</v>
      </c>
      <c r="H3" s="41" t="s">
        <v>143</v>
      </c>
      <c r="I3" s="3" t="s">
        <v>30</v>
      </c>
      <c r="J3" s="3" t="s">
        <v>32</v>
      </c>
      <c r="K3" s="4" t="s">
        <v>33</v>
      </c>
      <c r="L3" s="3" t="s">
        <v>30</v>
      </c>
      <c r="M3" s="3" t="s">
        <v>32</v>
      </c>
      <c r="N3" s="4" t="s">
        <v>33</v>
      </c>
    </row>
    <row r="4" ht="28.35" customHeight="1" spans="1:14">
      <c r="A4" s="28">
        <v>1</v>
      </c>
      <c r="B4" s="29" t="s">
        <v>13</v>
      </c>
      <c r="C4" s="29" t="s">
        <v>144</v>
      </c>
      <c r="D4" s="28" t="s">
        <v>145</v>
      </c>
      <c r="E4" s="29">
        <v>53</v>
      </c>
      <c r="F4" s="29">
        <v>1401.41</v>
      </c>
      <c r="G4" s="42">
        <f>E4*F4</f>
        <v>74274.73</v>
      </c>
      <c r="H4" s="3"/>
      <c r="I4" s="3">
        <v>60</v>
      </c>
      <c r="J4" s="30"/>
      <c r="K4" s="31">
        <f>I4*J4</f>
        <v>0</v>
      </c>
      <c r="L4" s="29">
        <v>11</v>
      </c>
      <c r="M4" s="29">
        <v>1401.41</v>
      </c>
      <c r="N4" s="42">
        <f>L4*M4</f>
        <v>15415.51</v>
      </c>
    </row>
    <row r="5" ht="28.35" customHeight="1" spans="1:14">
      <c r="A5" s="32" t="s">
        <v>24</v>
      </c>
      <c r="B5" s="32"/>
      <c r="C5" s="32"/>
      <c r="D5" s="32"/>
      <c r="E5" s="32"/>
      <c r="F5" s="32"/>
      <c r="G5" s="43">
        <f>SUM(G4:G4)</f>
        <v>74274.73</v>
      </c>
      <c r="H5" s="44"/>
      <c r="I5" s="32"/>
      <c r="J5" s="33"/>
      <c r="K5" s="34">
        <f>SUM(K4:K4)</f>
        <v>0</v>
      </c>
      <c r="L5" s="32"/>
      <c r="M5" s="32"/>
      <c r="N5" s="43">
        <f>SUM(N4:N4)</f>
        <v>15415.51</v>
      </c>
    </row>
    <row r="6" spans="1:14">
      <c r="A6" s="14" t="s">
        <v>88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38"/>
    </row>
    <row r="7" spans="1:14">
      <c r="A7" s="36"/>
      <c r="B7" s="37"/>
      <c r="C7" s="36"/>
      <c r="D7" s="36"/>
      <c r="E7" s="37"/>
      <c r="F7" s="37"/>
      <c r="G7" s="38"/>
      <c r="H7" s="37"/>
      <c r="I7" s="37"/>
      <c r="J7" s="37"/>
      <c r="K7" s="38"/>
      <c r="L7" s="37"/>
      <c r="M7" s="37"/>
      <c r="N7" s="38"/>
    </row>
    <row r="8" spans="1:14">
      <c r="A8" s="36"/>
      <c r="B8" s="37"/>
      <c r="C8" s="36"/>
      <c r="D8" s="36"/>
      <c r="E8" s="37"/>
      <c r="F8" s="37"/>
      <c r="G8" s="38"/>
      <c r="H8" s="37"/>
      <c r="I8" s="37"/>
      <c r="J8" s="37"/>
      <c r="K8" s="38"/>
      <c r="L8" s="37"/>
      <c r="M8" s="37"/>
      <c r="N8" s="38"/>
    </row>
    <row r="9" spans="1:14">
      <c r="A9" s="36"/>
      <c r="B9" s="37"/>
      <c r="C9" s="36"/>
      <c r="D9" s="36"/>
      <c r="E9" s="37"/>
      <c r="F9" s="37"/>
      <c r="G9" s="38"/>
      <c r="H9" s="37"/>
      <c r="I9" s="37"/>
      <c r="J9" s="37"/>
      <c r="K9" s="38"/>
      <c r="L9" s="37"/>
      <c r="M9" s="37"/>
      <c r="N9" s="38"/>
    </row>
    <row r="10" spans="1:14">
      <c r="A10" s="36"/>
      <c r="B10" s="37"/>
      <c r="C10" s="36"/>
      <c r="D10" s="36"/>
      <c r="E10" s="37"/>
      <c r="F10" s="37"/>
      <c r="G10" s="38"/>
      <c r="H10" s="37"/>
      <c r="I10" s="37"/>
      <c r="J10" s="37"/>
      <c r="K10" s="38"/>
      <c r="L10" s="37"/>
      <c r="M10" s="37"/>
      <c r="N10" s="38"/>
    </row>
    <row r="11" spans="1:14">
      <c r="A11" s="36"/>
      <c r="B11" s="37"/>
      <c r="C11" s="36"/>
      <c r="D11" s="36"/>
      <c r="E11" s="37"/>
      <c r="F11" s="37"/>
      <c r="G11" s="38"/>
      <c r="H11" s="37"/>
      <c r="I11" s="37"/>
      <c r="J11" s="37"/>
      <c r="K11" s="38"/>
      <c r="L11" s="37"/>
      <c r="M11" s="37"/>
      <c r="N11" s="38"/>
    </row>
  </sheetData>
  <sheetProtection algorithmName="SHA-512" hashValue="alCdrqqufCA+n9XqsiLF41JqGwsOMvaWFLAwunUiX6XmYVlKCNqrbuj9s80DXpbNZfcf6VaNrThL3my5pGgiog==" saltValue="z7FHQDFk6tu4xUJliHmxmA==" spinCount="100000" sheet="1" objects="1"/>
  <mergeCells count="5">
    <mergeCell ref="A1:K1"/>
    <mergeCell ref="L1:N1"/>
    <mergeCell ref="A2:H2"/>
    <mergeCell ref="A5:F5"/>
    <mergeCell ref="A6:M6"/>
  </mergeCells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K4" sqref="K4"/>
    </sheetView>
  </sheetViews>
  <sheetFormatPr defaultColWidth="9" defaultRowHeight="15" outlineLevelRow="6"/>
  <cols>
    <col min="3" max="3" width="29.5" customWidth="1"/>
    <col min="5" max="5" width="11.25" customWidth="1"/>
    <col min="7" max="7" width="12" customWidth="1"/>
  </cols>
  <sheetData>
    <row r="1" ht="49" customHeight="1" spans="1:9">
      <c r="A1" s="27" t="s">
        <v>146</v>
      </c>
      <c r="B1" s="27"/>
      <c r="C1" s="27"/>
      <c r="D1" s="27"/>
      <c r="E1" s="27"/>
      <c r="F1" s="27"/>
      <c r="G1" s="27"/>
    </row>
    <row r="2" ht="26" spans="1:9">
      <c r="A2" s="3" t="s">
        <v>1</v>
      </c>
      <c r="B2" s="3" t="s">
        <v>27</v>
      </c>
      <c r="C2" s="3" t="s">
        <v>28</v>
      </c>
      <c r="D2" s="3" t="s">
        <v>29</v>
      </c>
      <c r="E2" s="3" t="s">
        <v>30</v>
      </c>
      <c r="F2" s="3" t="s">
        <v>32</v>
      </c>
      <c r="G2" s="4" t="s">
        <v>33</v>
      </c>
      <c r="H2" s="15"/>
      <c r="I2" s="15"/>
    </row>
    <row r="3" ht="48" customHeight="1" spans="1:9">
      <c r="A3" s="28">
        <v>1</v>
      </c>
      <c r="B3" s="7" t="s">
        <v>15</v>
      </c>
      <c r="C3" s="7" t="s">
        <v>147</v>
      </c>
      <c r="D3" s="28" t="s">
        <v>79</v>
      </c>
      <c r="E3" s="39">
        <f>68182.7*0.5</f>
        <v>34091.35</v>
      </c>
      <c r="F3" s="12"/>
      <c r="G3" s="12">
        <f>F3*E3</f>
        <v>0</v>
      </c>
    </row>
    <row r="4" ht="44" customHeight="1" spans="1:9">
      <c r="A4" s="28">
        <v>2</v>
      </c>
      <c r="B4" s="7" t="s">
        <v>15</v>
      </c>
      <c r="C4" s="7" t="s">
        <v>148</v>
      </c>
      <c r="D4" s="28" t="s">
        <v>79</v>
      </c>
      <c r="E4" s="39">
        <f>36779.9*0.5</f>
        <v>18389.95</v>
      </c>
      <c r="F4" s="12"/>
      <c r="G4" s="12">
        <f>F4*E4</f>
        <v>0</v>
      </c>
    </row>
    <row r="5" ht="45" customHeight="1" spans="1:9">
      <c r="A5" s="28">
        <v>3</v>
      </c>
      <c r="B5" s="7" t="s">
        <v>15</v>
      </c>
      <c r="C5" s="7" t="s">
        <v>149</v>
      </c>
      <c r="D5" s="28" t="s">
        <v>79</v>
      </c>
      <c r="E5" s="39">
        <f>484.2*0.5</f>
        <v>242.1</v>
      </c>
      <c r="F5" s="12"/>
      <c r="G5" s="12">
        <f>F5*E5</f>
        <v>0</v>
      </c>
    </row>
    <row r="6" ht="35" customHeight="1" spans="1:9">
      <c r="A6" s="32" t="s">
        <v>24</v>
      </c>
      <c r="B6" s="32"/>
      <c r="C6" s="32"/>
      <c r="D6" s="32"/>
      <c r="E6" s="32"/>
      <c r="F6" s="33"/>
      <c r="G6" s="34">
        <f>SUM(G3:G5)</f>
        <v>0</v>
      </c>
    </row>
    <row r="7" ht="21" customHeight="1" spans="1:9">
      <c r="A7" s="14" t="s">
        <v>88</v>
      </c>
      <c r="B7" s="14"/>
      <c r="C7" s="14"/>
      <c r="D7" s="14"/>
      <c r="E7" s="14"/>
      <c r="F7" s="14"/>
      <c r="G7" s="14"/>
      <c r="H7" s="14"/>
      <c r="I7" s="14"/>
    </row>
  </sheetData>
  <sheetProtection algorithmName="SHA-512" hashValue="loSr7a19yGn8D2vvyMnuOmt5ahTujrScBlc09ThmqqRcNkrsKyqo9k86jPz4DoFcD7R81wHAUPCORkAI4Jv5sA==" saltValue="L0MN1PFFq68CTfv3+SA0jQ==" spinCount="100000" sheet="1" objects="1"/>
  <mergeCells count="3">
    <mergeCell ref="A1:G1"/>
    <mergeCell ref="A6:D6"/>
    <mergeCell ref="A7:I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" sqref="A1:G1"/>
    </sheetView>
  </sheetViews>
  <sheetFormatPr defaultColWidth="8.96666666666667" defaultRowHeight="15"/>
  <cols>
    <col min="1" max="1" width="7.08333333333333" style="15" customWidth="1"/>
    <col min="2" max="2" width="20" style="25"/>
    <col min="3" max="3" width="35.2583333333333" style="15" customWidth="1"/>
    <col min="4" max="4" width="5.49166666666667" style="15"/>
    <col min="5" max="5" width="11.5666666666667" style="25"/>
    <col min="6" max="6" width="11.5666666666667" style="15"/>
    <col min="7" max="7" width="11.5666666666667" style="26"/>
    <col min="8" max="242" width="10.6"/>
  </cols>
  <sheetData>
    <row r="1" ht="34" customHeight="1" spans="1:9">
      <c r="A1" s="27" t="s">
        <v>150</v>
      </c>
      <c r="B1" s="27"/>
      <c r="C1" s="27"/>
      <c r="D1" s="27"/>
      <c r="E1" s="27"/>
      <c r="F1" s="27"/>
      <c r="G1" s="27"/>
    </row>
    <row r="2" s="15" customFormat="1" ht="28.35" customHeight="1" spans="1:9">
      <c r="A2" s="3" t="s">
        <v>1</v>
      </c>
      <c r="B2" s="3" t="s">
        <v>27</v>
      </c>
      <c r="C2" s="3" t="s">
        <v>28</v>
      </c>
      <c r="D2" s="3" t="s">
        <v>29</v>
      </c>
      <c r="E2" s="3" t="s">
        <v>30</v>
      </c>
      <c r="F2" s="3" t="s">
        <v>32</v>
      </c>
      <c r="G2" s="4" t="s">
        <v>33</v>
      </c>
    </row>
    <row r="3" ht="28.35" customHeight="1" spans="1:9">
      <c r="A3" s="28">
        <v>1</v>
      </c>
      <c r="B3" s="29" t="s">
        <v>151</v>
      </c>
      <c r="C3" s="29" t="s">
        <v>152</v>
      </c>
      <c r="D3" s="28" t="s">
        <v>153</v>
      </c>
      <c r="E3" s="3">
        <v>350</v>
      </c>
      <c r="F3" s="30"/>
      <c r="G3" s="31">
        <f>E3*F3</f>
        <v>0</v>
      </c>
    </row>
    <row r="4" ht="28.35" customHeight="1" spans="1:9">
      <c r="A4" s="28">
        <v>2</v>
      </c>
      <c r="B4" s="29" t="s">
        <v>151</v>
      </c>
      <c r="C4" s="29" t="s">
        <v>154</v>
      </c>
      <c r="D4" s="28" t="s">
        <v>153</v>
      </c>
      <c r="E4" s="3">
        <v>350</v>
      </c>
      <c r="F4" s="30"/>
      <c r="G4" s="31">
        <f>E4*F4</f>
        <v>0</v>
      </c>
    </row>
    <row r="5" ht="28.35" customHeight="1" spans="1:9">
      <c r="A5" s="28">
        <v>3</v>
      </c>
      <c r="B5" s="29" t="s">
        <v>155</v>
      </c>
      <c r="C5" s="29" t="s">
        <v>156</v>
      </c>
      <c r="D5" s="28" t="s">
        <v>153</v>
      </c>
      <c r="E5" s="3">
        <v>700</v>
      </c>
      <c r="F5" s="30"/>
      <c r="G5" s="31">
        <f>E5*F5</f>
        <v>0</v>
      </c>
    </row>
    <row r="6" ht="28.35" customHeight="1" spans="1:9">
      <c r="A6" s="32" t="s">
        <v>24</v>
      </c>
      <c r="B6" s="32"/>
      <c r="C6" s="32"/>
      <c r="D6" s="32"/>
      <c r="E6" s="32"/>
      <c r="F6" s="33"/>
      <c r="G6" s="34">
        <f>SUM(G3:G5)</f>
        <v>0</v>
      </c>
    </row>
    <row r="7" spans="1:9">
      <c r="A7" s="14" t="s">
        <v>88</v>
      </c>
      <c r="B7" s="14"/>
      <c r="C7" s="14"/>
      <c r="D7" s="14"/>
      <c r="E7" s="14"/>
      <c r="F7" s="35"/>
      <c r="G7" s="14"/>
      <c r="H7" s="14"/>
      <c r="I7" s="14"/>
    </row>
    <row r="8" spans="1:9">
      <c r="A8" s="36"/>
      <c r="B8" s="37"/>
      <c r="C8" s="36"/>
      <c r="D8" s="36"/>
      <c r="E8" s="37"/>
      <c r="F8" s="36"/>
      <c r="G8" s="38"/>
    </row>
    <row r="9" spans="1:9">
      <c r="A9" s="36"/>
      <c r="B9" s="37"/>
      <c r="C9" s="36"/>
      <c r="D9" s="36"/>
      <c r="E9" s="37"/>
      <c r="F9" s="36"/>
      <c r="G9" s="38"/>
    </row>
    <row r="10" spans="1:9">
      <c r="A10" s="36"/>
      <c r="B10" s="37"/>
      <c r="C10" s="36"/>
      <c r="D10" s="36"/>
      <c r="E10" s="37"/>
      <c r="F10" s="36"/>
      <c r="G10" s="38"/>
    </row>
    <row r="11" spans="1:9">
      <c r="A11" s="36"/>
      <c r="B11" s="37"/>
      <c r="C11" s="36"/>
      <c r="D11" s="36"/>
      <c r="E11" s="37"/>
      <c r="F11" s="36"/>
      <c r="G11" s="38"/>
    </row>
    <row r="12" spans="1:9">
      <c r="A12" s="36"/>
      <c r="B12" s="37"/>
      <c r="C12" s="36"/>
      <c r="D12" s="36"/>
      <c r="E12" s="37"/>
      <c r="F12" s="36"/>
      <c r="G12" s="38"/>
    </row>
  </sheetData>
  <sheetProtection algorithmName="SHA-512" hashValue="0+JTYFiEk1kq9EOviqKs0cDd9yMdf5CurBY+2nhUpWUZpOdm6XS1Z1gbF9+/63tsTv+JitajaiCgLMwO3msQcQ==" saltValue="WGDDMMNIdWXoHlB1kGj6kg==" spinCount="100000" sheet="1" objects="1"/>
  <mergeCells count="3">
    <mergeCell ref="A1:G1"/>
    <mergeCell ref="A6:D6"/>
    <mergeCell ref="A7:I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42"/>
  <sheetViews>
    <sheetView showZeros="0" workbookViewId="0">
      <selection activeCell="L9" sqref="L9"/>
    </sheetView>
  </sheetViews>
  <sheetFormatPr defaultColWidth="8.96666666666667" defaultRowHeight="15"/>
  <cols>
    <col min="1" max="1" width="6.56666666666667" style="16"/>
    <col min="2" max="2" width="20.4416666666667" style="16"/>
    <col min="3" max="3" width="34.0666666666667" style="16"/>
    <col min="4" max="4" width="5.45" style="16"/>
    <col min="5" max="5" width="9.625" style="16" hidden="1" customWidth="1"/>
    <col min="6" max="6" width="9.66666666666667" style="16"/>
    <col min="7" max="7" width="9.625" style="16"/>
    <col min="8" max="8" width="12.125" style="16"/>
    <col min="9" max="245" width="8.49166666666667" style="16"/>
    <col min="246" max="248" width="8.49166666666667"/>
  </cols>
  <sheetData>
    <row r="1" ht="35" customHeight="1" spans="1:245">
      <c r="A1" s="17" t="s">
        <v>157</v>
      </c>
      <c r="B1" s="17"/>
      <c r="C1" s="17"/>
      <c r="D1" s="17"/>
      <c r="E1" s="17"/>
      <c r="F1" s="17"/>
      <c r="G1" s="17"/>
      <c r="H1" s="17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</row>
    <row r="2" s="15" customFormat="1" ht="28.35" customHeight="1" spans="1:245">
      <c r="A2" s="3" t="s">
        <v>1</v>
      </c>
      <c r="B2" s="3" t="s">
        <v>27</v>
      </c>
      <c r="C2" s="3" t="s">
        <v>28</v>
      </c>
      <c r="D2" s="3" t="s">
        <v>29</v>
      </c>
      <c r="E2" s="3" t="s">
        <v>30</v>
      </c>
      <c r="F2" s="3" t="s">
        <v>30</v>
      </c>
      <c r="G2" s="3" t="s">
        <v>32</v>
      </c>
      <c r="H2" s="4" t="s">
        <v>33</v>
      </c>
    </row>
    <row r="3" s="16" customFormat="1" ht="21" customHeight="1" spans="1:245">
      <c r="A3" s="5"/>
      <c r="B3" s="5" t="s">
        <v>158</v>
      </c>
      <c r="C3" s="5"/>
      <c r="D3" s="5"/>
      <c r="E3" s="18"/>
      <c r="F3" s="18"/>
      <c r="G3" s="19"/>
      <c r="H3" s="19"/>
    </row>
    <row r="4" s="16" customFormat="1" ht="21" customHeight="1" spans="1:245">
      <c r="A4" s="5" t="s">
        <v>95</v>
      </c>
      <c r="B4" s="20" t="s">
        <v>159</v>
      </c>
      <c r="C4" s="20" t="s">
        <v>160</v>
      </c>
      <c r="D4" s="5" t="s">
        <v>79</v>
      </c>
      <c r="E4" s="18">
        <v>268</v>
      </c>
      <c r="F4" s="21">
        <f>E4*0.2</f>
        <v>53.6</v>
      </c>
      <c r="G4" s="19"/>
      <c r="H4" s="22">
        <f t="shared" ref="H4:H9" si="0">ROUND(F4*G4,2)</f>
        <v>0</v>
      </c>
    </row>
    <row r="5" s="16" customFormat="1" ht="21" customHeight="1" spans="1:245">
      <c r="A5" s="5" t="s">
        <v>98</v>
      </c>
      <c r="B5" s="20" t="s">
        <v>159</v>
      </c>
      <c r="C5" s="20" t="s">
        <v>161</v>
      </c>
      <c r="D5" s="5" t="s">
        <v>79</v>
      </c>
      <c r="E5" s="18">
        <v>447</v>
      </c>
      <c r="F5" s="21">
        <f>E5*0.2</f>
        <v>89.4</v>
      </c>
      <c r="G5" s="19"/>
      <c r="H5" s="22">
        <f t="shared" si="0"/>
        <v>0</v>
      </c>
    </row>
    <row r="6" s="16" customFormat="1" ht="21" customHeight="1" spans="1:245">
      <c r="A6" s="5" t="s">
        <v>101</v>
      </c>
      <c r="B6" s="20" t="s">
        <v>159</v>
      </c>
      <c r="C6" s="20" t="s">
        <v>162</v>
      </c>
      <c r="D6" s="5" t="s">
        <v>79</v>
      </c>
      <c r="E6" s="18">
        <v>50</v>
      </c>
      <c r="F6" s="21">
        <v>25</v>
      </c>
      <c r="G6" s="19"/>
      <c r="H6" s="22">
        <f t="shared" si="0"/>
        <v>0</v>
      </c>
    </row>
    <row r="7" s="16" customFormat="1" ht="21" customHeight="1" spans="1:245">
      <c r="A7" s="5" t="s">
        <v>104</v>
      </c>
      <c r="B7" s="20" t="s">
        <v>159</v>
      </c>
      <c r="C7" s="20" t="s">
        <v>163</v>
      </c>
      <c r="D7" s="5" t="s">
        <v>79</v>
      </c>
      <c r="E7" s="18">
        <v>20</v>
      </c>
      <c r="F7" s="21">
        <v>20</v>
      </c>
      <c r="G7" s="19"/>
      <c r="H7" s="22">
        <f t="shared" si="0"/>
        <v>0</v>
      </c>
    </row>
    <row r="8" s="16" customFormat="1" ht="28" customHeight="1" spans="1:245">
      <c r="A8" s="5" t="s">
        <v>107</v>
      </c>
      <c r="B8" s="20" t="s">
        <v>164</v>
      </c>
      <c r="C8" s="20" t="s">
        <v>165</v>
      </c>
      <c r="D8" s="5" t="s">
        <v>36</v>
      </c>
      <c r="E8" s="18">
        <v>100</v>
      </c>
      <c r="F8" s="21">
        <f>E8</f>
        <v>100</v>
      </c>
      <c r="G8" s="19"/>
      <c r="H8" s="22">
        <f t="shared" si="0"/>
        <v>0</v>
      </c>
    </row>
    <row r="9" s="16" customFormat="1" ht="22" customHeight="1" spans="1:245">
      <c r="A9" s="5" t="s">
        <v>110</v>
      </c>
      <c r="B9" s="20" t="s">
        <v>164</v>
      </c>
      <c r="C9" s="20" t="s">
        <v>166</v>
      </c>
      <c r="D9" s="5" t="s">
        <v>36</v>
      </c>
      <c r="E9" s="18">
        <v>150</v>
      </c>
      <c r="F9" s="21">
        <f>E9</f>
        <v>150</v>
      </c>
      <c r="G9" s="19"/>
      <c r="H9" s="22">
        <f t="shared" si="0"/>
        <v>0</v>
      </c>
    </row>
    <row r="10" s="16" customFormat="1" ht="21" customHeight="1" spans="1:245">
      <c r="A10" s="5"/>
      <c r="B10" s="5" t="s">
        <v>167</v>
      </c>
      <c r="C10" s="5"/>
      <c r="D10" s="5"/>
      <c r="E10" s="18"/>
      <c r="F10" s="21"/>
      <c r="G10" s="19"/>
      <c r="H10" s="22"/>
    </row>
    <row r="11" s="16" customFormat="1" ht="30" customHeight="1" spans="1:245">
      <c r="A11" s="5" t="s">
        <v>113</v>
      </c>
      <c r="B11" s="20" t="s">
        <v>168</v>
      </c>
      <c r="C11" s="20" t="s">
        <v>169</v>
      </c>
      <c r="D11" s="5" t="s">
        <v>36</v>
      </c>
      <c r="E11" s="18">
        <v>3261</v>
      </c>
      <c r="F11" s="21">
        <f>E11*0.1</f>
        <v>326.1</v>
      </c>
      <c r="G11" s="19"/>
      <c r="H11" s="22">
        <f>ROUND(F11*G11,2)</f>
        <v>0</v>
      </c>
    </row>
    <row r="12" s="16" customFormat="1" ht="30" customHeight="1" spans="1:245">
      <c r="A12" s="5">
        <v>8</v>
      </c>
      <c r="B12" s="20" t="s">
        <v>170</v>
      </c>
      <c r="C12" s="20" t="s">
        <v>171</v>
      </c>
      <c r="D12" s="5" t="s">
        <v>36</v>
      </c>
      <c r="E12" s="18">
        <f>11.7+8.7</f>
        <v>20.4</v>
      </c>
      <c r="F12" s="21">
        <f t="shared" ref="F12:F15" si="1">E12</f>
        <v>20.4</v>
      </c>
      <c r="G12" s="19"/>
      <c r="H12" s="22">
        <f>ROUND(F12*G12,2)</f>
        <v>0</v>
      </c>
    </row>
    <row r="13" s="16" customFormat="1" ht="30" customHeight="1" spans="1:245">
      <c r="A13" s="5">
        <v>9</v>
      </c>
      <c r="B13" s="20" t="s">
        <v>172</v>
      </c>
      <c r="C13" s="20" t="s">
        <v>173</v>
      </c>
      <c r="D13" s="5" t="s">
        <v>36</v>
      </c>
      <c r="E13" s="18">
        <f>34.15+9.41</f>
        <v>43.56</v>
      </c>
      <c r="F13" s="21">
        <f t="shared" si="1"/>
        <v>43.56</v>
      </c>
      <c r="G13" s="19"/>
      <c r="H13" s="22">
        <f>ROUND(F13*G13,2)</f>
        <v>0</v>
      </c>
    </row>
    <row r="14" s="16" customFormat="1" ht="21" customHeight="1" spans="1:245">
      <c r="A14" s="5"/>
      <c r="B14" s="5" t="s">
        <v>174</v>
      </c>
      <c r="C14" s="5"/>
      <c r="D14" s="5"/>
      <c r="E14" s="18"/>
      <c r="F14" s="21"/>
      <c r="G14" s="19"/>
      <c r="H14" s="22"/>
    </row>
    <row r="15" s="16" customFormat="1" ht="32" customHeight="1" spans="1:245">
      <c r="A15" s="5">
        <v>10</v>
      </c>
      <c r="B15" s="20" t="s">
        <v>175</v>
      </c>
      <c r="C15" s="20" t="s">
        <v>176</v>
      </c>
      <c r="D15" s="5" t="s">
        <v>36</v>
      </c>
      <c r="E15" s="18">
        <v>12292.36</v>
      </c>
      <c r="F15" s="21">
        <f>E15*0.03</f>
        <v>368.7708</v>
      </c>
      <c r="G15" s="19"/>
      <c r="H15" s="22">
        <f>ROUND(F15*G15,2)</f>
        <v>0</v>
      </c>
    </row>
    <row r="16" s="16" customFormat="1" ht="21" customHeight="1" spans="1:245">
      <c r="A16" s="5"/>
      <c r="B16" s="5" t="s">
        <v>177</v>
      </c>
      <c r="C16" s="5"/>
      <c r="D16" s="5"/>
      <c r="E16" s="18"/>
      <c r="F16" s="21"/>
      <c r="G16" s="19"/>
      <c r="H16" s="22"/>
    </row>
    <row r="17" s="16" customFormat="1" ht="21" customHeight="1" spans="1:13">
      <c r="A17" s="5">
        <v>11</v>
      </c>
      <c r="B17" s="20" t="s">
        <v>178</v>
      </c>
      <c r="C17" s="20" t="s">
        <v>179</v>
      </c>
      <c r="D17" s="5" t="s">
        <v>79</v>
      </c>
      <c r="E17" s="18">
        <v>553</v>
      </c>
      <c r="F17" s="21">
        <f>E17*1</f>
        <v>553</v>
      </c>
      <c r="G17" s="19"/>
      <c r="H17" s="22">
        <f t="shared" ref="H16:H22" si="2">ROUND(F17*G17,2)</f>
        <v>0</v>
      </c>
    </row>
    <row r="18" s="16" customFormat="1" ht="34" customHeight="1" spans="1:13">
      <c r="A18" s="5">
        <v>12</v>
      </c>
      <c r="B18" s="20" t="s">
        <v>178</v>
      </c>
      <c r="C18" s="20" t="s">
        <v>180</v>
      </c>
      <c r="D18" s="5" t="s">
        <v>79</v>
      </c>
      <c r="E18" s="18">
        <v>553</v>
      </c>
      <c r="F18" s="21">
        <f>E18*0.1</f>
        <v>55.3</v>
      </c>
      <c r="G18" s="19"/>
      <c r="H18" s="22">
        <f t="shared" si="2"/>
        <v>0</v>
      </c>
    </row>
    <row r="19" s="16" customFormat="1" ht="21" customHeight="1" spans="1:13">
      <c r="A19" s="5"/>
      <c r="B19" s="5" t="s">
        <v>181</v>
      </c>
      <c r="C19" s="5"/>
      <c r="D19" s="5"/>
      <c r="E19" s="18"/>
      <c r="F19" s="21"/>
      <c r="G19" s="19"/>
      <c r="H19" s="22"/>
    </row>
    <row r="20" s="16" customFormat="1" ht="31" customHeight="1" spans="1:13">
      <c r="A20" s="5">
        <v>13</v>
      </c>
      <c r="B20" s="20" t="s">
        <v>182</v>
      </c>
      <c r="C20" s="20" t="s">
        <v>183</v>
      </c>
      <c r="D20" s="5" t="s">
        <v>73</v>
      </c>
      <c r="E20" s="18">
        <v>9</v>
      </c>
      <c r="F20" s="21">
        <f>E20</f>
        <v>9</v>
      </c>
      <c r="G20" s="19"/>
      <c r="H20" s="22">
        <f t="shared" si="2"/>
        <v>0</v>
      </c>
    </row>
    <row r="21" s="16" customFormat="1" ht="21" customHeight="1" spans="1:13">
      <c r="A21" s="5"/>
      <c r="B21" s="5" t="s">
        <v>184</v>
      </c>
      <c r="C21" s="5"/>
      <c r="D21" s="5"/>
      <c r="E21" s="18"/>
      <c r="F21" s="21"/>
      <c r="G21" s="19"/>
      <c r="H21" s="22"/>
    </row>
    <row r="22" s="16" customFormat="1" ht="28" customHeight="1" spans="1:13">
      <c r="A22" s="5">
        <v>14</v>
      </c>
      <c r="B22" s="20" t="s">
        <v>185</v>
      </c>
      <c r="C22" s="20" t="s">
        <v>186</v>
      </c>
      <c r="D22" s="5" t="s">
        <v>36</v>
      </c>
      <c r="E22" s="18">
        <v>50</v>
      </c>
      <c r="F22" s="21">
        <f>E22</f>
        <v>50</v>
      </c>
      <c r="G22" s="19"/>
      <c r="H22" s="22">
        <f t="shared" si="2"/>
        <v>0</v>
      </c>
    </row>
    <row r="23" s="16" customFormat="1" ht="21" customHeight="1" spans="1:13">
      <c r="A23" s="5" t="s">
        <v>124</v>
      </c>
      <c r="B23" s="5"/>
      <c r="C23" s="5"/>
      <c r="D23" s="5"/>
      <c r="E23" s="5"/>
      <c r="F23" s="5"/>
      <c r="G23" s="5"/>
      <c r="H23" s="23">
        <f>SUM(H4:H22)</f>
        <v>0</v>
      </c>
    </row>
    <row r="24" s="16" customFormat="1" ht="21" customHeight="1" spans="1:13">
      <c r="A24" s="14" t="s">
        <v>88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="16" customFormat="1" ht="21" customHeight="1" spans="1:13">
      <c r="C25" s="24"/>
      <c r="D25" s="24"/>
      <c r="E25" s="24"/>
      <c r="F25" s="24"/>
      <c r="G25" s="24"/>
      <c r="H25" s="24"/>
    </row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</sheetData>
  <sheetProtection algorithmName="SHA-512" hashValue="glgfZsmlNopJuIOumt55X/SgfshDCPdMtBYt93rb2h6uOA31jnUeKPMC7Ewgkh9TqXWJSZBGqMncEFu9OqpcBQ==" saltValue="naGbeC6aGYWkvVVRUfVm3A==" spinCount="100000" sheet="1" objects="1"/>
  <mergeCells count="10">
    <mergeCell ref="A1:H1"/>
    <mergeCell ref="B3:C3"/>
    <mergeCell ref="B10:C10"/>
    <mergeCell ref="B14:C14"/>
    <mergeCell ref="B16:C16"/>
    <mergeCell ref="B19:C19"/>
    <mergeCell ref="B21:C21"/>
    <mergeCell ref="A23:G23"/>
    <mergeCell ref="A24:M24"/>
    <mergeCell ref="C25:H25"/>
  </mergeCells>
  <pageMargins left="0.751388888888889" right="0.751388888888889" top="1" bottom="1" header="0.511805555555556" footer="0.511805555555556"/>
  <pageSetup paperSize="9" orientation="landscape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topLeftCell="A7" workbookViewId="0">
      <selection activeCell="E15" sqref="E15"/>
    </sheetView>
  </sheetViews>
  <sheetFormatPr defaultColWidth="9" defaultRowHeight="15" outlineLevelCol="6"/>
  <cols>
    <col min="1" max="1" width="9" style="1"/>
    <col min="2" max="2" width="17.25" style="1" customWidth="1"/>
    <col min="3" max="3" width="30.125" style="1" customWidth="1"/>
    <col min="4" max="5" width="9" style="1"/>
    <col min="6" max="6" width="11.125" style="1" customWidth="1"/>
    <col min="7" max="7" width="14.625" style="1" customWidth="1"/>
  </cols>
  <sheetData>
    <row r="1" ht="24" customHeight="1" spans="1:7">
      <c r="A1" s="2" t="s">
        <v>187</v>
      </c>
      <c r="B1" s="2"/>
      <c r="C1" s="2"/>
      <c r="D1" s="2"/>
      <c r="E1" s="2"/>
      <c r="F1" s="2"/>
      <c r="G1" s="2"/>
    </row>
    <row r="2" ht="26" spans="1:7">
      <c r="A2" s="3" t="s">
        <v>1</v>
      </c>
      <c r="B2" s="3" t="s">
        <v>27</v>
      </c>
      <c r="C2" s="3" t="s">
        <v>28</v>
      </c>
      <c r="D2" s="3" t="s">
        <v>29</v>
      </c>
      <c r="E2" s="3" t="s">
        <v>30</v>
      </c>
      <c r="F2" s="3" t="s">
        <v>32</v>
      </c>
      <c r="G2" s="4" t="s">
        <v>33</v>
      </c>
    </row>
    <row r="3" ht="19" customHeight="1" spans="1:7">
      <c r="A3" s="5"/>
      <c r="B3" s="5" t="s">
        <v>188</v>
      </c>
      <c r="C3" s="5"/>
      <c r="D3" s="5"/>
      <c r="E3" s="5"/>
      <c r="F3" s="5"/>
      <c r="G3" s="5"/>
    </row>
    <row r="4" ht="42" customHeight="1" spans="1:7">
      <c r="A4" s="5" t="s">
        <v>95</v>
      </c>
      <c r="B4" s="6" t="s">
        <v>189</v>
      </c>
      <c r="C4" s="7" t="s">
        <v>190</v>
      </c>
      <c r="D4" s="5" t="s">
        <v>36</v>
      </c>
      <c r="E4" s="6">
        <v>200</v>
      </c>
      <c r="F4" s="8"/>
      <c r="G4" s="8">
        <f>F4*E4</f>
        <v>0</v>
      </c>
    </row>
    <row r="5" ht="42" customHeight="1" spans="1:7">
      <c r="A5" s="9">
        <v>2</v>
      </c>
      <c r="B5" s="6" t="s">
        <v>191</v>
      </c>
      <c r="C5" s="7" t="s">
        <v>192</v>
      </c>
      <c r="D5" s="9" t="s">
        <v>193</v>
      </c>
      <c r="E5" s="10">
        <f>29*0.5</f>
        <v>14.5</v>
      </c>
      <c r="F5" s="8"/>
      <c r="G5" s="8">
        <f>F5*E5</f>
        <v>0</v>
      </c>
    </row>
    <row r="6" ht="42" customHeight="1" spans="1:7">
      <c r="A6" s="5">
        <v>3</v>
      </c>
      <c r="B6" s="6" t="s">
        <v>194</v>
      </c>
      <c r="C6" s="7" t="s">
        <v>195</v>
      </c>
      <c r="D6" s="9" t="s">
        <v>193</v>
      </c>
      <c r="E6" s="10">
        <v>60</v>
      </c>
      <c r="F6" s="8"/>
      <c r="G6" s="8">
        <f>F6*E6</f>
        <v>0</v>
      </c>
    </row>
    <row r="7" ht="55" customHeight="1" spans="1:7">
      <c r="A7" s="5">
        <v>4</v>
      </c>
      <c r="B7" s="6" t="s">
        <v>196</v>
      </c>
      <c r="C7" s="7" t="s">
        <v>197</v>
      </c>
      <c r="D7" s="9" t="s">
        <v>73</v>
      </c>
      <c r="E7" s="10">
        <v>2</v>
      </c>
      <c r="F7" s="8"/>
      <c r="G7" s="8">
        <f>F7*E7</f>
        <v>0</v>
      </c>
    </row>
    <row r="8" ht="42" customHeight="1" spans="1:7">
      <c r="A8" s="5">
        <v>5</v>
      </c>
      <c r="B8" s="6" t="s">
        <v>198</v>
      </c>
      <c r="C8" s="7" t="s">
        <v>199</v>
      </c>
      <c r="D8" s="11" t="s">
        <v>200</v>
      </c>
      <c r="E8" s="6">
        <v>30</v>
      </c>
      <c r="F8" s="8"/>
      <c r="G8" s="8">
        <f t="shared" ref="G8:G16" si="0">F8*E8</f>
        <v>0</v>
      </c>
    </row>
    <row r="9" ht="42" customHeight="1" spans="1:7">
      <c r="A9" s="5">
        <v>6</v>
      </c>
      <c r="B9" s="6" t="s">
        <v>201</v>
      </c>
      <c r="C9" s="6" t="s">
        <v>202</v>
      </c>
      <c r="D9" s="11" t="s">
        <v>145</v>
      </c>
      <c r="E9" s="6">
        <v>15</v>
      </c>
      <c r="F9" s="8"/>
      <c r="G9" s="8">
        <f t="shared" si="0"/>
        <v>0</v>
      </c>
    </row>
    <row r="10" ht="42" customHeight="1" spans="1:7">
      <c r="A10" s="5">
        <v>7</v>
      </c>
      <c r="B10" s="6" t="s">
        <v>201</v>
      </c>
      <c r="C10" s="6" t="s">
        <v>203</v>
      </c>
      <c r="D10" s="11" t="s">
        <v>145</v>
      </c>
      <c r="E10" s="6">
        <v>45</v>
      </c>
      <c r="F10" s="8"/>
      <c r="G10" s="8">
        <f t="shared" si="0"/>
        <v>0</v>
      </c>
    </row>
    <row r="11" ht="42" customHeight="1" spans="1:7">
      <c r="A11" s="5">
        <v>8</v>
      </c>
      <c r="B11" s="6" t="s">
        <v>201</v>
      </c>
      <c r="C11" s="6" t="s">
        <v>204</v>
      </c>
      <c r="D11" s="11" t="s">
        <v>145</v>
      </c>
      <c r="E11" s="6">
        <v>60</v>
      </c>
      <c r="F11" s="8"/>
      <c r="G11" s="8">
        <f t="shared" si="0"/>
        <v>0</v>
      </c>
    </row>
    <row r="12" ht="42" customHeight="1" spans="1:7">
      <c r="A12" s="9">
        <v>9</v>
      </c>
      <c r="B12" s="6" t="s">
        <v>201</v>
      </c>
      <c r="C12" s="6" t="s">
        <v>205</v>
      </c>
      <c r="D12" s="11" t="s">
        <v>145</v>
      </c>
      <c r="E12" s="6">
        <v>30</v>
      </c>
      <c r="F12" s="8"/>
      <c r="G12" s="8">
        <f t="shared" si="0"/>
        <v>0</v>
      </c>
    </row>
    <row r="13" ht="42" customHeight="1" spans="1:7">
      <c r="A13" s="5">
        <v>10</v>
      </c>
      <c r="B13" s="6" t="s">
        <v>206</v>
      </c>
      <c r="C13" s="6" t="s">
        <v>207</v>
      </c>
      <c r="D13" s="6" t="s">
        <v>200</v>
      </c>
      <c r="E13" s="6">
        <v>20</v>
      </c>
      <c r="F13" s="8"/>
      <c r="G13" s="8">
        <f t="shared" si="0"/>
        <v>0</v>
      </c>
    </row>
    <row r="14" ht="42" customHeight="1" spans="1:7">
      <c r="A14" s="9">
        <v>11</v>
      </c>
      <c r="B14" s="6" t="s">
        <v>208</v>
      </c>
      <c r="C14" s="6" t="s">
        <v>209</v>
      </c>
      <c r="D14" s="6" t="s">
        <v>36</v>
      </c>
      <c r="E14" s="6">
        <v>12292.36</v>
      </c>
      <c r="F14" s="8"/>
      <c r="G14" s="12">
        <f t="shared" si="0"/>
        <v>0</v>
      </c>
    </row>
    <row r="15" ht="66" customHeight="1" spans="1:7">
      <c r="A15" s="5">
        <v>12</v>
      </c>
      <c r="B15" s="6" t="s">
        <v>210</v>
      </c>
      <c r="C15" s="6" t="s">
        <v>211</v>
      </c>
      <c r="D15" s="6" t="s">
        <v>212</v>
      </c>
      <c r="E15" s="6">
        <v>1</v>
      </c>
      <c r="F15" s="8"/>
      <c r="G15" s="8">
        <f t="shared" si="0"/>
        <v>0</v>
      </c>
    </row>
    <row r="16" ht="42" customHeight="1" spans="1:7">
      <c r="A16" s="6"/>
      <c r="B16" s="6"/>
      <c r="C16" s="6"/>
      <c r="D16" s="6"/>
      <c r="E16" s="6"/>
      <c r="F16" s="8"/>
      <c r="G16" s="8"/>
    </row>
    <row r="17" ht="42" customHeight="1" spans="1:7">
      <c r="A17" s="6"/>
      <c r="B17" s="6"/>
      <c r="C17" s="6"/>
      <c r="D17" s="6"/>
      <c r="E17" s="6"/>
      <c r="F17" s="8"/>
      <c r="G17" s="13">
        <f>SUM(G4:G16)</f>
        <v>0</v>
      </c>
    </row>
    <row r="18" ht="27" customHeight="1" spans="1:7">
      <c r="A18" s="14" t="s">
        <v>88</v>
      </c>
      <c r="B18" s="14"/>
      <c r="C18" s="14"/>
      <c r="D18" s="14"/>
      <c r="E18" s="14"/>
      <c r="F18" s="14"/>
      <c r="G18" s="14"/>
    </row>
  </sheetData>
  <sheetProtection algorithmName="SHA-512" hashValue="rgw8MnegGbb7FehOA4NHj+GE5e98YwbCE0hG4FfFGPS+Sbd70BEA3EH3XjZARzpvD1d/maRlwhhLso+OdmwqGw==" saltValue="dCaJwR6xR0eFHdpkovDrfA==" spinCount="100000" sheet="1" objects="1"/>
  <mergeCells count="3">
    <mergeCell ref="A1:G1"/>
    <mergeCell ref="B3:C3"/>
    <mergeCell ref="A18:G18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5" master="" otherUserPermission="visible"/>
  <rangeList sheetStid="6" master="" otherUserPermission="visible"/>
  <rangeList sheetStid="12" master="" otherUserPermission="visible"/>
  <rangeList sheetStid="11" master="" otherUserPermission="visible"/>
  <rangeList sheetStid="7" master="" otherUserPermission="visible"/>
  <rangeList sheetStid="1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汇总</vt:lpstr>
      <vt:lpstr>道路</vt:lpstr>
      <vt:lpstr>雨水管道疏通</vt:lpstr>
      <vt:lpstr>污水管道疏通</vt:lpstr>
      <vt:lpstr>出水口维修</vt:lpstr>
      <vt:lpstr>管道检测</vt:lpstr>
      <vt:lpstr>淤泥</vt:lpstr>
      <vt:lpstr>桥梁养护</vt:lpstr>
      <vt:lpstr>零星维修及应急处置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小丽子</cp:lastModifiedBy>
  <cp:revision>1</cp:revision>
  <dcterms:created xsi:type="dcterms:W3CDTF">2016-12-02T08:54:00Z</dcterms:created>
  <dcterms:modified xsi:type="dcterms:W3CDTF">2026-06-01T04:06:17Z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F155EC5471564AD2A70A00708F3C1D77_13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